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harts/chart4.xml" ContentType="application/vnd.openxmlformats-officedocument.drawingml.chart+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29.xml" ContentType="application/vnd.openxmlformats-officedocument.spreadsheetml.comment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comments27.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comments25.xml" ContentType="application/vnd.openxmlformats-officedocument.spreadsheetml.comments+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comments23.xml" ContentType="application/vnd.openxmlformats-officedocument.spreadsheetml.comments+xml"/>
  <Override PartName="/xl/comments34.xml" ContentType="application/vnd.openxmlformats-officedocument.spreadsheetml.comments+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21.xml" ContentType="application/vnd.openxmlformats-officedocument.spreadsheetml.comments+xml"/>
  <Override PartName="/xl/comments32.xml" ContentType="application/vnd.openxmlformats-officedocument.spreadsheetml.comment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comments10.xml" ContentType="application/vnd.openxmlformats-officedocument.spreadsheetml.comments+xml"/>
  <Override PartName="/xl/comments30.xml" ContentType="application/vnd.openxmlformats-officedocument.spreadsheetml.comment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comments9.xml" ContentType="application/vnd.openxmlformats-officedocument.spreadsheetml.comments+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emf" ContentType="image/x-emf"/>
  <Override PartName="/xl/comments7.xml" ContentType="application/vnd.openxmlformats-officedocument.spreadsheetml.comments+xml"/>
  <Override PartName="/xl/charts/chart3.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comments5.xml" ContentType="application/vnd.openxmlformats-officedocument.spreadsheetml.comments+xml"/>
  <Override PartName="/xl/charts/chart1.xml" ContentType="application/vnd.openxmlformats-officedocument.drawingml.chart+xml"/>
  <Override PartName="/xl/comments19.xml" ContentType="application/vnd.openxmlformats-officedocument.spreadsheetml.comments+xml"/>
  <Override PartName="/xl/comments28.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drawings/drawing1.xml" ContentType="application/vnd.openxmlformats-officedocument.drawing+xml"/>
  <Override PartName="/xl/comments17.xml" ContentType="application/vnd.openxmlformats-officedocument.spreadsheetml.comments+xml"/>
  <Override PartName="/xl/comments26.xml" ContentType="application/vnd.openxmlformats-officedocument.spreadsheetml.comments+xml"/>
  <Override PartName="/xl/comments35.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omments24.xml" ContentType="application/vnd.openxmlformats-officedocument.spreadsheetml.comments+xml"/>
  <Override PartName="/xl/comments33.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comments13.xml" ContentType="application/vnd.openxmlformats-officedocument.spreadsheetml.comments+xml"/>
  <Override PartName="/xl/comments22.xml" ContentType="application/vnd.openxmlformats-officedocument.spreadsheetml.comments+xml"/>
  <Override PartName="/xl/comments31.xml" ContentType="application/vnd.openxmlformats-officedocument.spreadsheetml.comments+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charts/chart2.xml" ContentType="application/vnd.openxmlformats-officedocument.drawingml.chart+xml"/>
  <Default Extension="rels" ContentType="application/vnd.openxmlformats-package.relationship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540" windowWidth="19440" windowHeight="11760" tabRatio="844"/>
  </bookViews>
  <sheets>
    <sheet name="Ficha técnica" sheetId="54" r:id="rId1"/>
    <sheet name="Consolidado comunas" sheetId="55" r:id="rId2"/>
    <sheet name="Resumen" sheetId="1" r:id="rId3"/>
    <sheet name="Recoleta" sheetId="3" r:id="rId4"/>
    <sheet name="San Miguel" sheetId="6" r:id="rId5"/>
    <sheet name="Independ" sheetId="8" r:id="rId6"/>
    <sheet name="Ñuñoa" sheetId="9" r:id="rId7"/>
    <sheet name="Lo Barnech" sheetId="10" r:id="rId8"/>
    <sheet name="Vitacura" sheetId="11" r:id="rId9"/>
    <sheet name="Pudahuel" sheetId="14" r:id="rId10"/>
    <sheet name="Stgo" sheetId="15" r:id="rId11"/>
    <sheet name="Providencia" sheetId="20" r:id="rId12"/>
    <sheet name="Quilicura" sheetId="22" r:id="rId13"/>
    <sheet name="Las Condes" sheetId="23" r:id="rId14"/>
    <sheet name="La Reina" sheetId="25" r:id="rId15"/>
    <sheet name="Q.Normal" sheetId="27" r:id="rId16"/>
    <sheet name="Colina" sheetId="28" r:id="rId17"/>
    <sheet name="Curacavi" sheetId="31" r:id="rId18"/>
    <sheet name="La Cisterna" sheetId="32" r:id="rId19"/>
    <sheet name="Lampa" sheetId="35" r:id="rId20"/>
    <sheet name="Til til" sheetId="37" r:id="rId21"/>
    <sheet name="Cerro Navia" sheetId="42" r:id="rId22"/>
    <sheet name="Huechuraba" sheetId="43" r:id="rId23"/>
    <sheet name="Renca" sheetId="46" r:id="rId24"/>
    <sheet name="Lo Prado" sheetId="44" r:id="rId25"/>
    <sheet name="Maipu" sheetId="48" r:id="rId26"/>
    <sheet name="Conchali" sheetId="53" r:id="rId27"/>
    <sheet name="Lo Espejo" sheetId="7" r:id="rId28"/>
    <sheet name="C.de Tango" sheetId="5" r:id="rId29"/>
    <sheet name="San Joaquin" sheetId="2" r:id="rId30"/>
    <sheet name="Pirque" sheetId="17" r:id="rId31"/>
    <sheet name="Macul" sheetId="18" r:id="rId32"/>
    <sheet name="Paine" sheetId="19" r:id="rId33"/>
    <sheet name="SJdM" sheetId="21" r:id="rId34"/>
    <sheet name="La Granja" sheetId="24" r:id="rId35"/>
    <sheet name="PAC" sheetId="26" r:id="rId36"/>
    <sheet name="La Pintana" sheetId="29" r:id="rId37"/>
    <sheet name="La Florida" sheetId="33" r:id="rId38"/>
    <sheet name="Pte Alto" sheetId="34" r:id="rId39"/>
    <sheet name="Talagante" sheetId="39" r:id="rId40"/>
    <sheet name="Buin" sheetId="40" r:id="rId41"/>
    <sheet name="San Bernardo" sheetId="45" r:id="rId42"/>
    <sheet name="San Ramon" sheetId="49" r:id="rId43"/>
    <sheet name="El Bosque" sheetId="50" r:id="rId44"/>
    <sheet name="Estacion Central" sheetId="52" r:id="rId45"/>
    <sheet name="Cerrillos" sheetId="4" r:id="rId46"/>
    <sheet name="El Monte" sheetId="12" r:id="rId47"/>
    <sheet name="P.Hurtado" sheetId="30" r:id="rId48"/>
    <sheet name="Peñalolen" sheetId="16" r:id="rId49"/>
    <sheet name="Peñaflor" sheetId="41" r:id="rId50"/>
    <sheet name="Isla de Maipo" sheetId="51" r:id="rId51"/>
    <sheet name="San Pedro" sheetId="13" r:id="rId52"/>
    <sheet name="Alhue" sheetId="36" r:id="rId53"/>
    <sheet name="Melipilla" sheetId="47" r:id="rId54"/>
    <sheet name="Maria Pinto" sheetId="38" r:id="rId55"/>
  </sheets>
  <externalReferences>
    <externalReference r:id="rId56"/>
  </externalReferences>
  <definedNames>
    <definedName name="_xlnm._FilterDatabase" localSheetId="1" hidden="1">'Consolidado comunas'!$A$1:$O$1</definedName>
  </definedNames>
  <calcPr calcId="125725"/>
</workbook>
</file>

<file path=xl/calcChain.xml><?xml version="1.0" encoding="utf-8"?>
<calcChain xmlns="http://schemas.openxmlformats.org/spreadsheetml/2006/main">
  <c r="J9" i="55"/>
  <c r="I33"/>
  <c r="I2" i="32"/>
  <c r="J66" i="55"/>
  <c r="J64"/>
  <c r="J63"/>
  <c r="J62"/>
  <c r="J52"/>
  <c r="H51"/>
  <c r="J51" s="1"/>
  <c r="J49"/>
  <c r="J48"/>
  <c r="J47"/>
  <c r="J44"/>
  <c r="J42"/>
  <c r="J41"/>
  <c r="J40"/>
  <c r="J36"/>
  <c r="J35"/>
  <c r="J30"/>
  <c r="J28"/>
  <c r="J26"/>
  <c r="I24"/>
  <c r="J22"/>
  <c r="J2" i="28"/>
  <c r="J18" i="55"/>
  <c r="J17"/>
  <c r="J10"/>
  <c r="J7"/>
  <c r="J6"/>
  <c r="J2"/>
  <c r="H2" i="1" l="1"/>
  <c r="G2"/>
  <c r="B174" i="53" l="1"/>
  <c r="B172"/>
  <c r="B171"/>
  <c r="B170"/>
  <c r="B169"/>
  <c r="C168"/>
  <c r="B168"/>
  <c r="C147"/>
  <c r="B141"/>
  <c r="B147" s="1"/>
  <c r="C127"/>
  <c r="B127"/>
  <c r="B124"/>
  <c r="B123"/>
  <c r="B122"/>
  <c r="B121"/>
  <c r="C109"/>
  <c r="B108"/>
  <c r="B106"/>
  <c r="B105"/>
  <c r="B104"/>
  <c r="B109" s="1"/>
  <c r="B103"/>
  <c r="C85"/>
  <c r="B84"/>
  <c r="B82"/>
  <c r="B81"/>
  <c r="B80"/>
  <c r="B79"/>
  <c r="B78"/>
  <c r="B77"/>
  <c r="B76"/>
  <c r="B75"/>
  <c r="B74"/>
  <c r="B85" s="1"/>
  <c r="E75" s="1"/>
  <c r="F75" s="1"/>
  <c r="B73"/>
  <c r="C64"/>
  <c r="B63"/>
  <c r="B61"/>
  <c r="B60"/>
  <c r="B59"/>
  <c r="B58"/>
  <c r="B57"/>
  <c r="B56"/>
  <c r="B55"/>
  <c r="B54"/>
  <c r="B53"/>
  <c r="B52"/>
  <c r="B64" s="1"/>
  <c r="C42"/>
  <c r="B42"/>
  <c r="B41"/>
  <c r="B39"/>
  <c r="B38"/>
  <c r="B37"/>
  <c r="B36"/>
  <c r="B35"/>
  <c r="B34"/>
  <c r="B33"/>
  <c r="B32"/>
  <c r="B31"/>
  <c r="B30"/>
  <c r="I24"/>
  <c r="H24"/>
  <c r="G24"/>
  <c r="F24"/>
  <c r="E24"/>
  <c r="D24"/>
  <c r="C24"/>
  <c r="B24"/>
  <c r="J24" s="1"/>
  <c r="J23"/>
  <c r="J22"/>
  <c r="J21"/>
  <c r="J20"/>
  <c r="J19"/>
  <c r="J18"/>
  <c r="J17"/>
  <c r="J16"/>
  <c r="J15"/>
  <c r="J14"/>
  <c r="J13"/>
  <c r="J12"/>
  <c r="H5" i="1" l="1"/>
  <c r="G5"/>
  <c r="H4"/>
  <c r="G4"/>
  <c r="H3"/>
  <c r="G3"/>
  <c r="J2" i="38" l="1"/>
  <c r="J2" i="51"/>
  <c r="J3" i="50" l="1"/>
  <c r="I5"/>
  <c r="J2" i="49" l="1"/>
  <c r="H2"/>
  <c r="J2" i="48" l="1"/>
  <c r="J3" i="46" l="1"/>
  <c r="I4"/>
  <c r="J2" i="43"/>
  <c r="J4" i="40" l="1"/>
  <c r="I5" i="39" l="1"/>
  <c r="H7"/>
  <c r="J5" i="22" l="1"/>
  <c r="J4"/>
  <c r="H4" i="28"/>
  <c r="J2" i="9"/>
  <c r="J4" i="37"/>
  <c r="I2"/>
  <c r="J5" i="1" l="1"/>
  <c r="J4"/>
  <c r="J2" i="36"/>
  <c r="J5" i="34"/>
  <c r="E13" i="33"/>
  <c r="J5" i="30"/>
  <c r="J4" i="29"/>
  <c r="J2" i="27"/>
  <c r="K6" i="2"/>
  <c r="J7" i="3"/>
  <c r="K7" i="4"/>
  <c r="J4" i="5"/>
  <c r="J8" i="6"/>
  <c r="J3" i="7"/>
  <c r="J10" i="8"/>
  <c r="I9"/>
  <c r="J9" i="10"/>
  <c r="K7" i="11"/>
  <c r="J7" i="12"/>
  <c r="J2" i="13"/>
  <c r="J2" i="14"/>
  <c r="J5" i="15"/>
  <c r="J7" i="16"/>
  <c r="J7" i="17"/>
  <c r="J12" i="18"/>
  <c r="I2" i="19"/>
  <c r="J5" i="20"/>
  <c r="J4" i="21"/>
  <c r="J3" i="23"/>
  <c r="D15" i="24"/>
  <c r="J2" i="25"/>
  <c r="J2" i="26"/>
  <c r="H8" i="31"/>
  <c r="J8"/>
  <c r="J2" i="35"/>
  <c r="J2" i="3"/>
  <c r="J3" i="1"/>
  <c r="G10"/>
  <c r="H10" l="1"/>
  <c r="H8"/>
  <c r="J2"/>
  <c r="I4" i="7"/>
  <c r="I4" i="15"/>
  <c r="I4" i="17"/>
  <c r="G20" i="32"/>
  <c r="I4" i="28"/>
  <c r="I4" i="20"/>
  <c r="I4" i="18"/>
  <c r="G8" i="1" l="1"/>
  <c r="G12" s="1"/>
  <c r="E19" i="31"/>
  <c r="D19"/>
  <c r="E20" s="1"/>
  <c r="C19"/>
  <c r="J3" i="18" l="1"/>
  <c r="J2"/>
  <c r="K2" i="11" l="1"/>
  <c r="J2" i="10" l="1"/>
  <c r="I8" i="8" l="1"/>
  <c r="C12" i="1" l="1"/>
  <c r="H12" l="1"/>
  <c r="F10" l="1"/>
  <c r="J12"/>
  <c r="F8"/>
  <c r="F11"/>
  <c r="F12" l="1"/>
</calcChain>
</file>

<file path=xl/comments1.xml><?xml version="1.0" encoding="utf-8"?>
<comments xmlns="http://schemas.openxmlformats.org/spreadsheetml/2006/main">
  <authors>
    <author>Carolina Eing</author>
    <author>Alonso Suarez Montoya</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 ref="J9" authorId="1">
      <text>
        <r>
          <rPr>
            <b/>
            <sz val="9"/>
            <color indexed="81"/>
            <rFont val="Tahoma"/>
            <family val="2"/>
          </rPr>
          <t>48265*1000/84195*365</t>
        </r>
        <r>
          <rPr>
            <sz val="9"/>
            <color indexed="81"/>
            <rFont val="Tahoma"/>
            <family val="2"/>
          </rPr>
          <t xml:space="preserve">
</t>
        </r>
      </text>
    </comment>
  </commentList>
</comments>
</file>

<file path=xl/comments10.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11.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12.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13.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14.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15.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16.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17.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18.xml><?xml version="1.0" encoding="utf-8"?>
<comments xmlns="http://schemas.openxmlformats.org/spreadsheetml/2006/main">
  <authors>
    <author>Carolina Eing</author>
  </authors>
  <commentList>
    <comment ref="B3"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3" authorId="0">
      <text>
        <r>
          <rPr>
            <b/>
            <sz val="9"/>
            <color indexed="81"/>
            <rFont val="Tahoma"/>
            <family val="2"/>
          </rPr>
          <t>Carolina Eing:</t>
        </r>
        <r>
          <rPr>
            <sz val="9"/>
            <color indexed="81"/>
            <rFont val="Tahoma"/>
            <family val="2"/>
          </rPr>
          <t xml:space="preserve">
Relleno sanitario, Relleno manual, Vertedero, Basural.</t>
        </r>
      </text>
    </comment>
    <comment ref="D3" authorId="0">
      <text>
        <r>
          <rPr>
            <b/>
            <sz val="9"/>
            <color indexed="81"/>
            <rFont val="Tahoma"/>
            <family val="2"/>
          </rPr>
          <t>Carolina Eing:</t>
        </r>
        <r>
          <rPr>
            <sz val="9"/>
            <color indexed="81"/>
            <rFont val="Tahoma"/>
            <family val="2"/>
          </rPr>
          <t xml:space="preserve">
Comuna en que se ubica la instalación</t>
        </r>
      </text>
    </comment>
    <comment ref="E3" authorId="0">
      <text>
        <r>
          <rPr>
            <b/>
            <sz val="9"/>
            <color indexed="81"/>
            <rFont val="Tahoma"/>
            <family val="2"/>
          </rPr>
          <t>Carolina Eing:</t>
        </r>
        <r>
          <rPr>
            <sz val="9"/>
            <color indexed="81"/>
            <rFont val="Tahoma"/>
            <family val="2"/>
          </rPr>
          <t xml:space="preserve">
Instalación cuenta o no con autorización sanitaria. Indicar número.</t>
        </r>
      </text>
    </comment>
    <comment ref="F3"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3" authorId="0">
      <text>
        <r>
          <rPr>
            <b/>
            <sz val="9"/>
            <color indexed="81"/>
            <rFont val="Tahoma"/>
            <family val="2"/>
          </rPr>
          <t>Carolina Eing:</t>
        </r>
        <r>
          <rPr>
            <sz val="9"/>
            <color indexed="81"/>
            <rFont val="Tahoma"/>
            <family val="2"/>
          </rPr>
          <t xml:space="preserve">
Población estimada que dispone en la instalación.</t>
        </r>
      </text>
    </comment>
    <comment ref="H3" authorId="0">
      <text>
        <r>
          <rPr>
            <b/>
            <sz val="9"/>
            <color indexed="81"/>
            <rFont val="Tahoma"/>
            <family val="2"/>
          </rPr>
          <t>Carolina Eing:</t>
        </r>
        <r>
          <rPr>
            <sz val="9"/>
            <color indexed="81"/>
            <rFont val="Tahoma"/>
            <family val="2"/>
          </rPr>
          <t xml:space="preserve">
Toneladas de residuos enviadas en el año 2014 a la instalación.</t>
        </r>
      </text>
    </comment>
    <comment ref="I3"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3" authorId="0">
      <text>
        <r>
          <rPr>
            <b/>
            <sz val="9"/>
            <color indexed="81"/>
            <rFont val="Tahoma"/>
            <family val="2"/>
          </rPr>
          <t>Carolina Eing:</t>
        </r>
        <r>
          <rPr>
            <sz val="9"/>
            <color indexed="81"/>
            <rFont val="Tahoma"/>
            <family val="2"/>
          </rPr>
          <t xml:space="preserve">
Producción Per Cápita de Residuos (kg/hab día).</t>
        </r>
      </text>
    </comment>
    <comment ref="K3" authorId="0">
      <text>
        <r>
          <rPr>
            <b/>
            <sz val="9"/>
            <color indexed="81"/>
            <rFont val="Tahoma"/>
            <family val="2"/>
          </rPr>
          <t>Carolina Eing:</t>
        </r>
        <r>
          <rPr>
            <sz val="9"/>
            <color indexed="81"/>
            <rFont val="Tahoma"/>
            <family val="2"/>
          </rPr>
          <t xml:space="preserve">
Coordenada Norte del sitio de disposición final en UTM 18 WGS 84.</t>
        </r>
      </text>
    </comment>
    <comment ref="L3" authorId="0">
      <text>
        <r>
          <rPr>
            <b/>
            <sz val="9"/>
            <color indexed="81"/>
            <rFont val="Tahoma"/>
            <family val="2"/>
          </rPr>
          <t>Carolina Eing:</t>
        </r>
        <r>
          <rPr>
            <sz val="9"/>
            <color indexed="81"/>
            <rFont val="Tahoma"/>
            <family val="2"/>
          </rPr>
          <t xml:space="preserve">
Coordenada Este del sitio de disposición final en UTM 18 WGS 84.</t>
        </r>
      </text>
    </comment>
    <comment ref="M3"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3"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19.xml><?xml version="1.0" encoding="utf-8"?>
<comments xmlns="http://schemas.openxmlformats.org/spreadsheetml/2006/main">
  <authors>
    <author>Carolina Eing</author>
  </authors>
  <commentList>
    <comment ref="C2"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D2" authorId="0">
      <text>
        <r>
          <rPr>
            <b/>
            <sz val="9"/>
            <color indexed="81"/>
            <rFont val="Tahoma"/>
            <family val="2"/>
          </rPr>
          <t>Carolina Eing:</t>
        </r>
        <r>
          <rPr>
            <sz val="9"/>
            <color indexed="81"/>
            <rFont val="Tahoma"/>
            <family val="2"/>
          </rPr>
          <t xml:space="preserve">
Relleno sanitario, Relleno manual, Vertedero, Basural.</t>
        </r>
      </text>
    </comment>
    <comment ref="E2" authorId="0">
      <text>
        <r>
          <rPr>
            <b/>
            <sz val="9"/>
            <color indexed="81"/>
            <rFont val="Tahoma"/>
            <family val="2"/>
          </rPr>
          <t>Carolina Eing:</t>
        </r>
        <r>
          <rPr>
            <sz val="9"/>
            <color indexed="81"/>
            <rFont val="Tahoma"/>
            <family val="2"/>
          </rPr>
          <t xml:space="preserve">
Comuna en que se ubica la instalación</t>
        </r>
      </text>
    </comment>
    <comment ref="F2" authorId="0">
      <text>
        <r>
          <rPr>
            <b/>
            <sz val="9"/>
            <color indexed="81"/>
            <rFont val="Tahoma"/>
            <family val="2"/>
          </rPr>
          <t>Carolina Eing:</t>
        </r>
        <r>
          <rPr>
            <sz val="9"/>
            <color indexed="81"/>
            <rFont val="Tahoma"/>
            <family val="2"/>
          </rPr>
          <t xml:space="preserve">
Instalación cuenta o no con autorización sanitaria. Indicar número.</t>
        </r>
      </text>
    </comment>
    <comment ref="G2"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H2" authorId="0">
      <text>
        <r>
          <rPr>
            <b/>
            <sz val="9"/>
            <color indexed="81"/>
            <rFont val="Tahoma"/>
            <family val="2"/>
          </rPr>
          <t>Carolina Eing:</t>
        </r>
        <r>
          <rPr>
            <sz val="9"/>
            <color indexed="81"/>
            <rFont val="Tahoma"/>
            <family val="2"/>
          </rPr>
          <t xml:space="preserve">
Población estimada que dispone en la instalación.</t>
        </r>
      </text>
    </comment>
    <comment ref="I2" authorId="0">
      <text>
        <r>
          <rPr>
            <b/>
            <sz val="9"/>
            <color indexed="81"/>
            <rFont val="Tahoma"/>
            <family val="2"/>
          </rPr>
          <t>Carolina Eing:</t>
        </r>
        <r>
          <rPr>
            <sz val="9"/>
            <color indexed="81"/>
            <rFont val="Tahoma"/>
            <family val="2"/>
          </rPr>
          <t xml:space="preserve">
Toneladas de residuos enviadas en el año 2014 a la instalación.</t>
        </r>
      </text>
    </comment>
    <comment ref="J2"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K2" authorId="0">
      <text>
        <r>
          <rPr>
            <b/>
            <sz val="9"/>
            <color indexed="81"/>
            <rFont val="Tahoma"/>
            <family val="2"/>
          </rPr>
          <t>Carolina Eing:</t>
        </r>
        <r>
          <rPr>
            <sz val="9"/>
            <color indexed="81"/>
            <rFont val="Tahoma"/>
            <family val="2"/>
          </rPr>
          <t xml:space="preserve">
Producción Per Cápita de Residuos (kg/hab día).</t>
        </r>
      </text>
    </comment>
    <comment ref="L2" authorId="0">
      <text>
        <r>
          <rPr>
            <b/>
            <sz val="9"/>
            <color indexed="81"/>
            <rFont val="Tahoma"/>
            <family val="2"/>
          </rPr>
          <t>Carolina Eing:</t>
        </r>
        <r>
          <rPr>
            <sz val="9"/>
            <color indexed="81"/>
            <rFont val="Tahoma"/>
            <family val="2"/>
          </rPr>
          <t xml:space="preserve">
Coordenada Norte del sitio de disposición final en UTM 18 WGS 84.</t>
        </r>
      </text>
    </comment>
    <comment ref="M2" authorId="0">
      <text>
        <r>
          <rPr>
            <b/>
            <sz val="9"/>
            <color indexed="81"/>
            <rFont val="Tahoma"/>
            <family val="2"/>
          </rPr>
          <t>Carolina Eing:</t>
        </r>
        <r>
          <rPr>
            <sz val="9"/>
            <color indexed="81"/>
            <rFont val="Tahoma"/>
            <family val="2"/>
          </rPr>
          <t xml:space="preserve">
Coordenada Este del sitio de disposición final en UTM 18 WGS 84.</t>
        </r>
      </text>
    </comment>
    <comment ref="N2"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O2"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0.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1.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2.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3.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4.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5.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6.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7.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8.xml><?xml version="1.0" encoding="utf-8"?>
<comments xmlns="http://schemas.openxmlformats.org/spreadsheetml/2006/main">
  <authors>
    <author>Carolina Eing</author>
  </authors>
  <commentList>
    <comment ref="C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D1" authorId="0">
      <text>
        <r>
          <rPr>
            <b/>
            <sz val="9"/>
            <color indexed="81"/>
            <rFont val="Tahoma"/>
            <family val="2"/>
          </rPr>
          <t>Carolina Eing:</t>
        </r>
        <r>
          <rPr>
            <sz val="9"/>
            <color indexed="81"/>
            <rFont val="Tahoma"/>
            <family val="2"/>
          </rPr>
          <t xml:space="preserve">
Relleno sanitario, Relleno manual, Vertedero, Basural.</t>
        </r>
      </text>
    </comment>
    <comment ref="E1" authorId="0">
      <text>
        <r>
          <rPr>
            <b/>
            <sz val="9"/>
            <color indexed="81"/>
            <rFont val="Tahoma"/>
            <family val="2"/>
          </rPr>
          <t>Carolina Eing:</t>
        </r>
        <r>
          <rPr>
            <sz val="9"/>
            <color indexed="81"/>
            <rFont val="Tahoma"/>
            <family val="2"/>
          </rPr>
          <t xml:space="preserve">
Comuna en que se ubica la instalación</t>
        </r>
      </text>
    </comment>
    <comment ref="F1" authorId="0">
      <text>
        <r>
          <rPr>
            <b/>
            <sz val="9"/>
            <color indexed="81"/>
            <rFont val="Tahoma"/>
            <family val="2"/>
          </rPr>
          <t>Carolina Eing:</t>
        </r>
        <r>
          <rPr>
            <sz val="9"/>
            <color indexed="81"/>
            <rFont val="Tahoma"/>
            <family val="2"/>
          </rPr>
          <t xml:space="preserve">
Instalación cuenta o no con autorización sanitaria. Indicar número.</t>
        </r>
      </text>
    </comment>
    <comment ref="G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H1" authorId="0">
      <text>
        <r>
          <rPr>
            <b/>
            <sz val="9"/>
            <color indexed="81"/>
            <rFont val="Tahoma"/>
            <family val="2"/>
          </rPr>
          <t>Carolina Eing:</t>
        </r>
        <r>
          <rPr>
            <sz val="9"/>
            <color indexed="81"/>
            <rFont val="Tahoma"/>
            <family val="2"/>
          </rPr>
          <t xml:space="preserve">
Población estimada que dispone en la instalación.</t>
        </r>
      </text>
    </comment>
    <comment ref="I1" authorId="0">
      <text>
        <r>
          <rPr>
            <b/>
            <sz val="9"/>
            <color indexed="81"/>
            <rFont val="Tahoma"/>
            <family val="2"/>
          </rPr>
          <t>Carolina Eing:</t>
        </r>
        <r>
          <rPr>
            <sz val="9"/>
            <color indexed="81"/>
            <rFont val="Tahoma"/>
            <family val="2"/>
          </rPr>
          <t xml:space="preserve">
Toneladas de residuos enviadas en el año 2014 a la instalación.</t>
        </r>
      </text>
    </comment>
    <comment ref="J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K1" authorId="0">
      <text>
        <r>
          <rPr>
            <b/>
            <sz val="9"/>
            <color indexed="81"/>
            <rFont val="Tahoma"/>
            <family val="2"/>
          </rPr>
          <t>Carolina Eing:</t>
        </r>
        <r>
          <rPr>
            <sz val="9"/>
            <color indexed="81"/>
            <rFont val="Tahoma"/>
            <family val="2"/>
          </rPr>
          <t xml:space="preserve">
Producción Per Cápita de Residuos (kg/hab día).</t>
        </r>
      </text>
    </comment>
    <comment ref="L1" authorId="0">
      <text>
        <r>
          <rPr>
            <b/>
            <sz val="9"/>
            <color indexed="81"/>
            <rFont val="Tahoma"/>
            <family val="2"/>
          </rPr>
          <t>Carolina Eing:</t>
        </r>
        <r>
          <rPr>
            <sz val="9"/>
            <color indexed="81"/>
            <rFont val="Tahoma"/>
            <family val="2"/>
          </rPr>
          <t xml:space="preserve">
Coordenada Norte del sitio de disposición final en UTM 18 WGS 84.</t>
        </r>
      </text>
    </comment>
    <comment ref="M1" authorId="0">
      <text>
        <r>
          <rPr>
            <b/>
            <sz val="9"/>
            <color indexed="81"/>
            <rFont val="Tahoma"/>
            <family val="2"/>
          </rPr>
          <t>Carolina Eing:</t>
        </r>
        <r>
          <rPr>
            <sz val="9"/>
            <color indexed="81"/>
            <rFont val="Tahoma"/>
            <family val="2"/>
          </rPr>
          <t xml:space="preserve">
Coordenada Este del sitio de disposición final en UTM 18 WGS 84.</t>
        </r>
      </text>
    </comment>
    <comment ref="N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O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29.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3.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30.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31.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32.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33.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34.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35.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4.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5.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6.xml><?xml version="1.0" encoding="utf-8"?>
<comments xmlns="http://schemas.openxmlformats.org/spreadsheetml/2006/main">
  <authors>
    <author>Alonso Suarez Montoya</author>
  </authors>
  <commentList>
    <comment ref="H2" authorId="0">
      <text>
        <r>
          <rPr>
            <sz val="9"/>
            <color indexed="81"/>
            <rFont val="Tahoma"/>
            <family val="2"/>
          </rPr>
          <t xml:space="preserve">84195*3 veces a la semana*52 semanas
</t>
        </r>
      </text>
    </comment>
    <comment ref="K2" authorId="0">
      <text>
        <r>
          <rPr>
            <b/>
            <sz val="9"/>
            <color indexed="81"/>
            <rFont val="Tahoma"/>
            <family val="2"/>
          </rPr>
          <t>48265*1000/84195*365</t>
        </r>
        <r>
          <rPr>
            <sz val="9"/>
            <color indexed="81"/>
            <rFont val="Tahoma"/>
            <family val="2"/>
          </rPr>
          <t xml:space="preserve">
</t>
        </r>
      </text>
    </comment>
  </commentList>
</comments>
</file>

<file path=xl/comments7.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8.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comments9.xml><?xml version="1.0" encoding="utf-8"?>
<comments xmlns="http://schemas.openxmlformats.org/spreadsheetml/2006/main">
  <authors>
    <author>Carolina Eing</author>
  </authors>
  <commentList>
    <comment ref="B1" authorId="0">
      <text>
        <r>
          <rPr>
            <b/>
            <sz val="9"/>
            <color indexed="81"/>
            <rFont val="Tahoma"/>
            <family val="2"/>
          </rPr>
          <t>Carolina Eing:</t>
        </r>
        <r>
          <rPr>
            <sz val="9"/>
            <color indexed="81"/>
            <rFont val="Tahoma"/>
            <family val="2"/>
          </rPr>
          <t xml:space="preserve">
Nombre de instalación de disposición final utilizada, municipal o privada</t>
        </r>
      </text>
    </comment>
    <comment ref="C1" authorId="0">
      <text>
        <r>
          <rPr>
            <b/>
            <sz val="9"/>
            <color indexed="81"/>
            <rFont val="Tahoma"/>
            <family val="2"/>
          </rPr>
          <t>Carolina Eing:</t>
        </r>
        <r>
          <rPr>
            <sz val="9"/>
            <color indexed="81"/>
            <rFont val="Tahoma"/>
            <family val="2"/>
          </rPr>
          <t xml:space="preserve">
Relleno sanitario, Relleno manual, Vertedero, Basural.</t>
        </r>
      </text>
    </comment>
    <comment ref="D1" authorId="0">
      <text>
        <r>
          <rPr>
            <b/>
            <sz val="9"/>
            <color indexed="81"/>
            <rFont val="Tahoma"/>
            <family val="2"/>
          </rPr>
          <t>Carolina Eing:</t>
        </r>
        <r>
          <rPr>
            <sz val="9"/>
            <color indexed="81"/>
            <rFont val="Tahoma"/>
            <family val="2"/>
          </rPr>
          <t xml:space="preserve">
Comuna en que se ubica la instalación</t>
        </r>
      </text>
    </comment>
    <comment ref="E1" authorId="0">
      <text>
        <r>
          <rPr>
            <b/>
            <sz val="9"/>
            <color indexed="81"/>
            <rFont val="Tahoma"/>
            <family val="2"/>
          </rPr>
          <t>Carolina Eing:</t>
        </r>
        <r>
          <rPr>
            <sz val="9"/>
            <color indexed="81"/>
            <rFont val="Tahoma"/>
            <family val="2"/>
          </rPr>
          <t xml:space="preserve">
Instalación cuenta o no con autorización sanitaria. Indicar número.</t>
        </r>
      </text>
    </comment>
    <comment ref="F1" authorId="0">
      <text>
        <r>
          <rPr>
            <b/>
            <sz val="9"/>
            <color indexed="81"/>
            <rFont val="Tahoma"/>
            <family val="2"/>
          </rPr>
          <t>Carolina Eing:</t>
        </r>
        <r>
          <rPr>
            <sz val="9"/>
            <color indexed="81"/>
            <rFont val="Tahoma"/>
            <family val="2"/>
          </rPr>
          <t xml:space="preserve">
La instalación cuenta o no con Resolución de Calificación Ambiental (RCA). Indicar número.</t>
        </r>
      </text>
    </comment>
    <comment ref="G1" authorId="0">
      <text>
        <r>
          <rPr>
            <b/>
            <sz val="9"/>
            <color indexed="81"/>
            <rFont val="Tahoma"/>
            <family val="2"/>
          </rPr>
          <t>Carolina Eing:</t>
        </r>
        <r>
          <rPr>
            <sz val="9"/>
            <color indexed="81"/>
            <rFont val="Tahoma"/>
            <family val="2"/>
          </rPr>
          <t xml:space="preserve">
Población estimada que dispone en la instalación.</t>
        </r>
      </text>
    </comment>
    <comment ref="H1" authorId="0">
      <text>
        <r>
          <rPr>
            <b/>
            <sz val="9"/>
            <color indexed="81"/>
            <rFont val="Tahoma"/>
            <family val="2"/>
          </rPr>
          <t>Carolina Eing:</t>
        </r>
        <r>
          <rPr>
            <sz val="9"/>
            <color indexed="81"/>
            <rFont val="Tahoma"/>
            <family val="2"/>
          </rPr>
          <t xml:space="preserve">
Toneladas de residuos enviadas en el año 2014 a la instalación.</t>
        </r>
      </text>
    </comment>
    <comment ref="I1" authorId="0">
      <text>
        <r>
          <rPr>
            <b/>
            <sz val="9"/>
            <color indexed="81"/>
            <rFont val="Tahoma"/>
            <family val="2"/>
          </rPr>
          <t>Carolina Eing:</t>
        </r>
        <r>
          <rPr>
            <sz val="9"/>
            <color indexed="81"/>
            <rFont val="Tahoma"/>
            <family val="2"/>
          </rPr>
          <t xml:space="preserve">
Monto ($) destinado por el Municipio para el item Aseo (recolección, transporte y disposición final).</t>
        </r>
      </text>
    </comment>
    <comment ref="J1" authorId="0">
      <text>
        <r>
          <rPr>
            <b/>
            <sz val="9"/>
            <color indexed="81"/>
            <rFont val="Tahoma"/>
            <family val="2"/>
          </rPr>
          <t>Carolina Eing:</t>
        </r>
        <r>
          <rPr>
            <sz val="9"/>
            <color indexed="81"/>
            <rFont val="Tahoma"/>
            <family val="2"/>
          </rPr>
          <t xml:space="preserve">
Producción Per Cápita de Residuos (kg/hab día).</t>
        </r>
      </text>
    </comment>
    <comment ref="K1" authorId="0">
      <text>
        <r>
          <rPr>
            <b/>
            <sz val="9"/>
            <color indexed="81"/>
            <rFont val="Tahoma"/>
            <family val="2"/>
          </rPr>
          <t>Carolina Eing:</t>
        </r>
        <r>
          <rPr>
            <sz val="9"/>
            <color indexed="81"/>
            <rFont val="Tahoma"/>
            <family val="2"/>
          </rPr>
          <t xml:space="preserve">
Coordenada Norte del sitio de disposición final en UTM 18 WGS 84.</t>
        </r>
      </text>
    </comment>
    <comment ref="L1" authorId="0">
      <text>
        <r>
          <rPr>
            <b/>
            <sz val="9"/>
            <color indexed="81"/>
            <rFont val="Tahoma"/>
            <family val="2"/>
          </rPr>
          <t>Carolina Eing:</t>
        </r>
        <r>
          <rPr>
            <sz val="9"/>
            <color indexed="81"/>
            <rFont val="Tahoma"/>
            <family val="2"/>
          </rPr>
          <t xml:space="preserve">
Coordenada Este del sitio de disposición final en UTM 18 WGS 84.</t>
        </r>
      </text>
    </comment>
    <comment ref="M1" authorId="0">
      <text>
        <r>
          <rPr>
            <b/>
            <sz val="9"/>
            <color indexed="81"/>
            <rFont val="Tahoma"/>
            <family val="2"/>
          </rPr>
          <t>Carolina Eing:</t>
        </r>
        <r>
          <rPr>
            <sz val="9"/>
            <color indexed="81"/>
            <rFont val="Tahoma"/>
            <family val="2"/>
          </rPr>
          <t xml:space="preserve">
Si es obtenida de un estudio previo (señalar estudio) o si se obtuvo mediante el uso de GPS.</t>
        </r>
      </text>
    </comment>
    <comment ref="N1" authorId="0">
      <text>
        <r>
          <rPr>
            <b/>
            <sz val="9"/>
            <color indexed="81"/>
            <rFont val="Tahoma"/>
            <family val="2"/>
          </rPr>
          <t>Carolina Eing:</t>
        </r>
        <r>
          <rPr>
            <sz val="9"/>
            <color indexed="81"/>
            <rFont val="Tahoma"/>
            <family val="2"/>
          </rPr>
          <t xml:space="preserve">
Vida útil prevista, Disposición de particulares, observaciones adicionales.</t>
        </r>
      </text>
    </comment>
  </commentList>
</comments>
</file>

<file path=xl/sharedStrings.xml><?xml version="1.0" encoding="utf-8"?>
<sst xmlns="http://schemas.openxmlformats.org/spreadsheetml/2006/main" count="2325" uniqueCount="681">
  <si>
    <t>Nombre de Instalación</t>
  </si>
  <si>
    <t>Tipo de Instalación</t>
  </si>
  <si>
    <t>Comuna</t>
  </si>
  <si>
    <t>Comuna(s) que Dispone(n)</t>
  </si>
  <si>
    <t>Autorización  Sanitaria</t>
  </si>
  <si>
    <t>RCA</t>
  </si>
  <si>
    <t>Residuos Recibidos (ton/año)</t>
  </si>
  <si>
    <t>Comentario</t>
  </si>
  <si>
    <t>ppc (kg/hab. día)</t>
  </si>
  <si>
    <t>Santa Marta</t>
  </si>
  <si>
    <t>Relleno Sanitario</t>
  </si>
  <si>
    <t>Talagante</t>
  </si>
  <si>
    <t>Santiago Poniente</t>
  </si>
  <si>
    <t>Maipú</t>
  </si>
  <si>
    <t>Popeta</t>
  </si>
  <si>
    <t>Vertedero</t>
  </si>
  <si>
    <t>Melipilla</t>
  </si>
  <si>
    <t xml:space="preserve">Sí. Res. Nº 12986 del 28/05/2002 </t>
  </si>
  <si>
    <t>No</t>
  </si>
  <si>
    <t>Loma Los Colorados</t>
  </si>
  <si>
    <t>Til Til</t>
  </si>
  <si>
    <t>RESUMEN</t>
  </si>
  <si>
    <t>Rellenos Sanitarios</t>
  </si>
  <si>
    <t xml:space="preserve">Rellenos Manuales </t>
  </si>
  <si>
    <t>Vertederos</t>
  </si>
  <si>
    <t>Basurales</t>
  </si>
  <si>
    <t>TOTALES</t>
  </si>
  <si>
    <t>UTM NORTE</t>
  </si>
  <si>
    <t>UTM ESTE</t>
  </si>
  <si>
    <t xml:space="preserve">Sistema de Proyección </t>
  </si>
  <si>
    <t xml:space="preserve">Empresas </t>
  </si>
  <si>
    <t xml:space="preserve"> Nombre  de instalación</t>
  </si>
  <si>
    <t>Consorcio Santa Marta</t>
  </si>
  <si>
    <t>San Joaquín</t>
  </si>
  <si>
    <t>Comuna que disponen</t>
  </si>
  <si>
    <t>Talagante (Rústico Santa Elena de Lonquén s/n, Lo Herrera)</t>
  </si>
  <si>
    <t>Residuos recibidos</t>
  </si>
  <si>
    <t>RSD, RSND y Escombros Mixtos</t>
  </si>
  <si>
    <t>Monto anual por servicio.</t>
  </si>
  <si>
    <t>UTM sur</t>
  </si>
  <si>
    <r>
      <t>33°41</t>
    </r>
    <r>
      <rPr>
        <sz val="11"/>
        <color theme="1"/>
        <rFont val="Calibri"/>
        <family val="2"/>
      </rPr>
      <t xml:space="preserve">′ </t>
    </r>
    <r>
      <rPr>
        <sz val="11"/>
        <color theme="1"/>
        <rFont val="Calibri"/>
        <family val="2"/>
        <scheme val="minor"/>
      </rPr>
      <t>42.87</t>
    </r>
    <r>
      <rPr>
        <sz val="11"/>
        <color theme="1"/>
        <rFont val="Calibri"/>
        <family val="2"/>
      </rPr>
      <t>″</t>
    </r>
  </si>
  <si>
    <t>UTM Este</t>
  </si>
  <si>
    <r>
      <t>70°48</t>
    </r>
    <r>
      <rPr>
        <sz val="11"/>
        <color theme="1"/>
        <rFont val="Calibri"/>
        <family val="2"/>
      </rPr>
      <t>′ 00.13″</t>
    </r>
  </si>
  <si>
    <t>Fuente coordenada</t>
  </si>
  <si>
    <t>Google Earth</t>
  </si>
  <si>
    <t>Observaciones</t>
  </si>
  <si>
    <t>Marga Marga</t>
  </si>
  <si>
    <t>San Bernardo (Camino Los Morros s/n Fundo Lepanto)</t>
  </si>
  <si>
    <t>Escombros Limpios</t>
  </si>
  <si>
    <t>Recupac</t>
  </si>
  <si>
    <t>La Pintana (Av. Gabriela N° 2971)</t>
  </si>
  <si>
    <t xml:space="preserve">Materiales a reciclar </t>
  </si>
  <si>
    <r>
      <t>33°33</t>
    </r>
    <r>
      <rPr>
        <sz val="11"/>
        <color theme="1"/>
        <rFont val="Calibri"/>
        <family val="2"/>
      </rPr>
      <t xml:space="preserve">′ </t>
    </r>
    <r>
      <rPr>
        <sz val="11"/>
        <color theme="1"/>
        <rFont val="Calibri"/>
        <family val="2"/>
        <scheme val="minor"/>
      </rPr>
      <t>20.12</t>
    </r>
    <r>
      <rPr>
        <sz val="11"/>
        <color theme="1"/>
        <rFont val="Calibri"/>
        <family val="2"/>
      </rPr>
      <t>″</t>
    </r>
  </si>
  <si>
    <r>
      <t>70°49</t>
    </r>
    <r>
      <rPr>
        <sz val="11"/>
        <color theme="1"/>
        <rFont val="Calibri"/>
        <family val="2"/>
      </rPr>
      <t>′ 34.15″</t>
    </r>
  </si>
  <si>
    <t>Se recepción los materiales que son posible reciclar como son los plásticos PET1, las cajas de tetra pack, latas de bebidas, papal, diario y cartón). Además  se entregan los restos de poda para ser trasformados en compost.</t>
  </si>
  <si>
    <t>SOREPA</t>
  </si>
  <si>
    <t>San Joaquín (Av. Carlos Valdovinos N° 473)</t>
  </si>
  <si>
    <t>Papel y cartón</t>
  </si>
  <si>
    <r>
      <t>33°35</t>
    </r>
    <r>
      <rPr>
        <sz val="11"/>
        <color theme="1"/>
        <rFont val="Calibri"/>
        <family val="2"/>
      </rPr>
      <t>′ 03</t>
    </r>
    <r>
      <rPr>
        <sz val="11"/>
        <color theme="1"/>
        <rFont val="Calibri"/>
        <family val="2"/>
        <scheme val="minor"/>
      </rPr>
      <t>.63</t>
    </r>
    <r>
      <rPr>
        <sz val="11"/>
        <color theme="1"/>
        <rFont val="Calibri"/>
        <family val="2"/>
      </rPr>
      <t>″</t>
    </r>
  </si>
  <si>
    <r>
      <t>70°37</t>
    </r>
    <r>
      <rPr>
        <sz val="11"/>
        <color theme="1"/>
        <rFont val="Calibri"/>
        <family val="2"/>
      </rPr>
      <t>′ 10.27″</t>
    </r>
  </si>
  <si>
    <t>Convenio de colaboración a través de la Fundación San José.</t>
  </si>
  <si>
    <t xml:space="preserve">Cristalería Chile </t>
  </si>
  <si>
    <t>Padre Hurtado (José Luis Caro N° 501)</t>
  </si>
  <si>
    <t>Botellas de vidrio</t>
  </si>
  <si>
    <r>
      <t>33°33</t>
    </r>
    <r>
      <rPr>
        <sz val="11"/>
        <color theme="1"/>
        <rFont val="Calibri"/>
        <family val="2"/>
      </rPr>
      <t>′ 56</t>
    </r>
    <r>
      <rPr>
        <sz val="11"/>
        <color theme="1"/>
        <rFont val="Calibri"/>
        <family val="2"/>
        <scheme val="minor"/>
      </rPr>
      <t>.20</t>
    </r>
    <r>
      <rPr>
        <sz val="11"/>
        <color theme="1"/>
        <rFont val="Calibri"/>
        <family val="2"/>
      </rPr>
      <t>″</t>
    </r>
  </si>
  <si>
    <r>
      <t>70°49</t>
    </r>
    <r>
      <rPr>
        <sz val="11"/>
        <color theme="1"/>
        <rFont val="Calibri"/>
        <family val="2"/>
      </rPr>
      <t>′ 07.35″</t>
    </r>
  </si>
  <si>
    <t>Convenio de colaboración a través de Coaniquem</t>
  </si>
  <si>
    <t>Cristalerías Toro SPA.</t>
  </si>
  <si>
    <t>Maipú (Camino Lonquén s/n, Parcela 41- B)</t>
  </si>
  <si>
    <r>
      <t>33°28</t>
    </r>
    <r>
      <rPr>
        <sz val="11"/>
        <color theme="1"/>
        <rFont val="Calibri"/>
        <family val="2"/>
      </rPr>
      <t>′ 51</t>
    </r>
    <r>
      <rPr>
        <sz val="11"/>
        <color theme="1"/>
        <rFont val="Calibri"/>
        <family val="2"/>
        <scheme val="minor"/>
      </rPr>
      <t>.03</t>
    </r>
    <r>
      <rPr>
        <sz val="11"/>
        <color theme="1"/>
        <rFont val="Calibri"/>
        <family val="2"/>
      </rPr>
      <t>″</t>
    </r>
  </si>
  <si>
    <r>
      <t>70°41</t>
    </r>
    <r>
      <rPr>
        <sz val="11"/>
        <color theme="1"/>
        <rFont val="Calibri"/>
        <family val="2"/>
      </rPr>
      <t>′ 45.64″</t>
    </r>
  </si>
  <si>
    <t>Convenio de colaboración a través de CODEFF</t>
  </si>
  <si>
    <t>Eco pacto</t>
  </si>
  <si>
    <t>Aceite Usado comestible</t>
  </si>
  <si>
    <r>
      <t>33°29</t>
    </r>
    <r>
      <rPr>
        <sz val="11"/>
        <color theme="1"/>
        <rFont val="Calibri"/>
        <family val="2"/>
      </rPr>
      <t>′ 52</t>
    </r>
    <r>
      <rPr>
        <sz val="11"/>
        <color theme="1"/>
        <rFont val="Calibri"/>
        <family val="2"/>
        <scheme val="minor"/>
      </rPr>
      <t>.20</t>
    </r>
    <r>
      <rPr>
        <sz val="11"/>
        <color theme="1"/>
        <rFont val="Calibri"/>
        <family val="2"/>
      </rPr>
      <t>″</t>
    </r>
  </si>
  <si>
    <r>
      <t>70°37</t>
    </r>
    <r>
      <rPr>
        <sz val="11"/>
        <color theme="1"/>
        <rFont val="Calibri"/>
        <family val="2"/>
      </rPr>
      <t>′ 41.45″</t>
    </r>
  </si>
  <si>
    <t>Convenio de colaboración con empresa Eco pacto</t>
  </si>
  <si>
    <t>COMUNA</t>
  </si>
  <si>
    <t>Comuna en que se ubica la instalación</t>
  </si>
  <si>
    <t>Población Atendida (Estimado año 2014)</t>
  </si>
  <si>
    <t>Residuos Enviados (ton/año)</t>
  </si>
  <si>
    <t>Monto anual aprox.</t>
  </si>
  <si>
    <t>ppc (kg/hab.día)</t>
  </si>
  <si>
    <t>Fuente de la Coordenada</t>
  </si>
  <si>
    <t>RECOLETA</t>
  </si>
  <si>
    <t>KDM</t>
  </si>
  <si>
    <t>Estación de Transferencia</t>
  </si>
  <si>
    <t>Quilicura</t>
  </si>
  <si>
    <t>9.979/1996</t>
  </si>
  <si>
    <t xml:space="preserve">La Resolución de
 Calificación Ambiental (RCA)
 Ex. N°060 de 26
 de enero de 2006
 de la COREMA
 Región Metropolita </t>
  </si>
  <si>
    <t>Til-Til</t>
  </si>
  <si>
    <t>CERRILLOS</t>
  </si>
  <si>
    <t>SANTIAGO PONIENTE</t>
  </si>
  <si>
    <t>RELLENO SANITARIO</t>
  </si>
  <si>
    <t>MAIPU</t>
  </si>
  <si>
    <t>SI</t>
  </si>
  <si>
    <t xml:space="preserve">33° 31' 28" S </t>
  </si>
  <si>
    <t>70° 52' 21" W</t>
  </si>
  <si>
    <t>Calera de Tango</t>
  </si>
  <si>
    <t>Consorcio Santa Marta S.A.</t>
  </si>
  <si>
    <t>433/2001</t>
  </si>
  <si>
    <t>6269959 m</t>
  </si>
  <si>
    <t>333138 m</t>
  </si>
  <si>
    <t>GPS</t>
  </si>
  <si>
    <t>aprobado hasta el año 2035</t>
  </si>
  <si>
    <t>San Miguel</t>
  </si>
  <si>
    <t xml:space="preserve"> N°9979</t>
  </si>
  <si>
    <t>N° 990</t>
  </si>
  <si>
    <t>6,553,000</t>
  </si>
  <si>
    <t>332,000 E</t>
  </si>
  <si>
    <t>El valor de la población es un estimado para 2015</t>
  </si>
  <si>
    <t>LO ESPEJO</t>
  </si>
  <si>
    <t>PUERTA SUR</t>
  </si>
  <si>
    <t>ESTACION DE TRASFERENCIA</t>
  </si>
  <si>
    <t>SAN BERNARDO</t>
  </si>
  <si>
    <t>5951/2002</t>
  </si>
  <si>
    <t>212/2001</t>
  </si>
  <si>
    <t>datum WGS84</t>
  </si>
  <si>
    <t>SANTA MARTA</t>
  </si>
  <si>
    <t>TALAGANTE</t>
  </si>
  <si>
    <t>9070/2002</t>
  </si>
  <si>
    <t>Comuna que se ubica la instalación</t>
  </si>
  <si>
    <t xml:space="preserve">Autorización Sanitaria </t>
  </si>
  <si>
    <t>Rca</t>
  </si>
  <si>
    <t>Población Atendida</t>
  </si>
  <si>
    <t>Residuos Enviados (ton/año) 1/</t>
  </si>
  <si>
    <t>Monto Anual Aproximado $ 1/</t>
  </si>
  <si>
    <t>ppc(kg/ha.día)</t>
  </si>
  <si>
    <t>utm norte</t>
  </si>
  <si>
    <t>utm este</t>
  </si>
  <si>
    <t>Independencia</t>
  </si>
  <si>
    <t>Lomas los Colorados</t>
  </si>
  <si>
    <t>planta Relleno Sanitario</t>
  </si>
  <si>
    <t>Til- Til</t>
  </si>
  <si>
    <t>Res. N° 009979 26/06/1996</t>
  </si>
  <si>
    <t>eia res. Exenta N° 990 26/06/1996</t>
  </si>
  <si>
    <t>6.352.481m.</t>
  </si>
  <si>
    <t>331.428m</t>
  </si>
  <si>
    <t>Sociedad KDM (Declaración Ambiental ingresado al seia)</t>
  </si>
  <si>
    <t>1/ información cuenta Pública</t>
  </si>
  <si>
    <t>ÑUÑOA</t>
  </si>
  <si>
    <t>Estación de Transferencia KDM</t>
  </si>
  <si>
    <t>Planta de Transferencia</t>
  </si>
  <si>
    <t>9980/1996</t>
  </si>
  <si>
    <t>990 de 27/06/1995 (Lomas Los Colorados)</t>
  </si>
  <si>
    <t>LO BARNECHEA</t>
  </si>
  <si>
    <t>EST. TRANSFERENCIA</t>
  </si>
  <si>
    <t>QUILICURA</t>
  </si>
  <si>
    <t>9979 Y 9980</t>
  </si>
  <si>
    <t>DATUM WGS 84 GOOGLE MAP</t>
  </si>
  <si>
    <t>NO TIENE TIEMPO DE CADUCIDAD  ETQ</t>
  </si>
  <si>
    <t>TIL TIL</t>
  </si>
  <si>
    <t>VIDA UTIL RELLENO SANITARIO HASTA EL AÑO 2045</t>
  </si>
  <si>
    <t>Costo recolección y Transporte $ 3.087.277.932</t>
  </si>
  <si>
    <t>Inspeción Técnica  $ 6.491.807</t>
  </si>
  <si>
    <t>NOTA: LOS RESIDUOS DOMICILIARIOS DE LA COMUNA DE LO BARNECHEA SON DEPOSITADOS EN LA PLANTA DE TRANSFERENCIA UBICADA EN LA COMUNA DE QUILICURA, LA EMPRESA KDM TRASNPORTA LOS RESIDUOS AL RELLENO SANITARIO.</t>
  </si>
  <si>
    <t>CRISTIAN VARGAS GONZALEZ</t>
  </si>
  <si>
    <t>JEFE DEPARTAMENTO DE ASEO</t>
  </si>
  <si>
    <t>DIRECCIÓN MEDIO AMBIENTE ASEO Y ORNATO</t>
  </si>
  <si>
    <t>MUNICIPALIDAD ED LO BARNECHEA</t>
  </si>
  <si>
    <t>Nombre de Instalacion</t>
  </si>
  <si>
    <t>Autorización Sanitaria</t>
  </si>
  <si>
    <t>Población atendida [hab]</t>
  </si>
  <si>
    <t>Población atendida (Estimado año 2014)   [hab]</t>
  </si>
  <si>
    <t>Residuos enviados (Ton/año)</t>
  </si>
  <si>
    <t>Monto Anual Aprox M$</t>
  </si>
  <si>
    <t>ppc  (kg/hab.dia</t>
  </si>
  <si>
    <t xml:space="preserve"> UTM ESTE</t>
  </si>
  <si>
    <t>Fuente de la coordenada</t>
  </si>
  <si>
    <t>VITACURA</t>
  </si>
  <si>
    <t>Lomas Los Colorados</t>
  </si>
  <si>
    <t>9979/1996</t>
  </si>
  <si>
    <t>(RCA) N° 990 del 27 Jun 1995</t>
  </si>
  <si>
    <t>RCA Planta de Reciclaje Res exenta Nº 706 1 sept 2008</t>
  </si>
  <si>
    <t>El Monte</t>
  </si>
  <si>
    <t>Relleno  sanitario</t>
  </si>
  <si>
    <t>Maipu</t>
  </si>
  <si>
    <t>si</t>
  </si>
  <si>
    <t>lel monto corresponde a lo cancelado por facturacion</t>
  </si>
  <si>
    <t>SAN PEDRO</t>
  </si>
  <si>
    <t>POPETA</t>
  </si>
  <si>
    <t>MELIPILLA</t>
  </si>
  <si>
    <t>RS 3594</t>
  </si>
  <si>
    <t xml:space="preserve">No tiene </t>
  </si>
  <si>
    <t>PPC se encuentra en toneladas</t>
  </si>
  <si>
    <t>Pudahuel</t>
  </si>
  <si>
    <t>Lomas los Colorados KDM S.A</t>
  </si>
  <si>
    <t>fundo las bateas Montenegro ruta norte km 60 Til-Til</t>
  </si>
  <si>
    <t xml:space="preserve">990-1995 por intendencia </t>
  </si>
  <si>
    <t>No tiene</t>
  </si>
  <si>
    <t>6352744.77 m S</t>
  </si>
  <si>
    <t>331723.91m E</t>
  </si>
  <si>
    <t>Google Earth Pro</t>
  </si>
  <si>
    <t>SANTIAGO</t>
  </si>
  <si>
    <t>KDM S.A.</t>
  </si>
  <si>
    <t>TRANSFERENCIA Y COMPACTACIÓN</t>
  </si>
  <si>
    <t>6306252.75 m S</t>
  </si>
  <si>
    <t>341766.70 m E</t>
  </si>
  <si>
    <t>Sistema WGS84_19S</t>
  </si>
  <si>
    <t>DISPOSICIÓN FINAL</t>
  </si>
  <si>
    <t>TIL-TIL</t>
  </si>
  <si>
    <t>6351951.96 m S</t>
  </si>
  <si>
    <t>331797.10 m E</t>
  </si>
  <si>
    <t>PEÑALOLEN</t>
  </si>
  <si>
    <t>N° 034944 del 11.11.2014</t>
  </si>
  <si>
    <t>N°479/2001</t>
  </si>
  <si>
    <t>Uso de GPS Navegador</t>
  </si>
  <si>
    <t>Montos solo incluyen el servicio domiciliario</t>
  </si>
  <si>
    <t>Pirque</t>
  </si>
  <si>
    <t>Consorcio Santa Marta S/N, privado</t>
  </si>
  <si>
    <t>San bernardo, La Cisterna tranferencia</t>
  </si>
  <si>
    <t>7739,11</t>
  </si>
  <si>
    <t>1,3</t>
  </si>
  <si>
    <t>6269959m</t>
  </si>
  <si>
    <t>333138m</t>
  </si>
  <si>
    <t>Talagante disposición Final</t>
  </si>
  <si>
    <t>Monto anual aprox. ($)</t>
  </si>
  <si>
    <t>MACUL</t>
  </si>
  <si>
    <t>Puerta Sur</t>
  </si>
  <si>
    <t>San Bernardo</t>
  </si>
  <si>
    <t>5952/2002</t>
  </si>
  <si>
    <t>9813/2002</t>
  </si>
  <si>
    <t>NOTA 1: El tonelaje anual reportado corresponde a los Residuos Sólidos Domiciliarios depositados por Macul durante el año 2014.-</t>
  </si>
  <si>
    <t xml:space="preserve">NOTA 2: Los RSD de la comuna de Macul son depositados en la Planta de Transferencia Puesta Sur ubicada en la comuna de San Bernardo.- </t>
  </si>
  <si>
    <t>NOTA 3: Posteriormente, la empresa Consorcio Santa Marta S.A. transporta con sus medios los RSD de Macul y otras comunas al Relleno Sanitario Santa Marta ubicado en la comuna de Talagante.-</t>
  </si>
  <si>
    <t>Monto anual aprox</t>
  </si>
  <si>
    <t>Vida útil estimada 20 años</t>
  </si>
  <si>
    <t>Autorización sanitaria</t>
  </si>
  <si>
    <t>PPC (kg/hab.día)</t>
  </si>
  <si>
    <t>Paine</t>
  </si>
  <si>
    <t>Población atendida</t>
  </si>
  <si>
    <t>ppc (kg/hab/día)</t>
  </si>
  <si>
    <t>UTM Norte</t>
  </si>
  <si>
    <t>Providencia</t>
  </si>
  <si>
    <r>
      <t>1.</t>
    </r>
    <r>
      <rPr>
        <sz val="7"/>
        <color rgb="FF000000"/>
        <rFont val="Times New Roman"/>
        <family val="1"/>
      </rPr>
      <t xml:space="preserve">   </t>
    </r>
    <r>
      <rPr>
        <sz val="10"/>
        <color rgb="FF000000"/>
        <rFont val="Arial"/>
        <family val="2"/>
      </rPr>
      <t>Estación de Transferencia</t>
    </r>
  </si>
  <si>
    <t>Privada</t>
  </si>
  <si>
    <t>Resolución N°104 del  29/09/1993</t>
  </si>
  <si>
    <t>6306107.71 mS</t>
  </si>
  <si>
    <t>341301.25 mE</t>
  </si>
  <si>
    <t>Google earth</t>
  </si>
  <si>
    <r>
      <t>2.</t>
    </r>
    <r>
      <rPr>
        <sz val="7"/>
        <color rgb="FF000000"/>
        <rFont val="Times New Roman"/>
        <family val="1"/>
      </rPr>
      <t xml:space="preserve"> </t>
    </r>
    <r>
      <rPr>
        <sz val="10"/>
        <color rgb="FF000000"/>
        <rFont val="Arial"/>
        <family val="2"/>
      </rPr>
      <t>Relleno Sanitario Lomas Lo Colorado</t>
    </r>
  </si>
  <si>
    <t>Tiltil</t>
  </si>
  <si>
    <t>6352182.93 mS</t>
  </si>
  <si>
    <t>331888.03 mE</t>
  </si>
  <si>
    <t>De la estación de transferencia traen los residuos a este relleno</t>
  </si>
  <si>
    <t>San Jose de Maipo</t>
  </si>
  <si>
    <t>6269959M</t>
  </si>
  <si>
    <t>333138M</t>
  </si>
  <si>
    <t>Considerar que la población aumenta considerablemente en verano por ser zona turística. Adicionalmente, en la actualidad la población flotante aumenta día a día por los trabajos de la Central de pasada Alto Maipo.</t>
  </si>
  <si>
    <t>Evaluación Regional de los Servicios de Manejo de Residuos Sólidos Municipales</t>
  </si>
  <si>
    <t>Las Condes</t>
  </si>
  <si>
    <t>Loma Los Colorados KDM SA</t>
  </si>
  <si>
    <t>990/1995</t>
  </si>
  <si>
    <t>TABLA 1. DATOS SOLICITADOS EN LA FICHA CONTROL</t>
  </si>
  <si>
    <t>Relleno Sanitario Santa Marta</t>
  </si>
  <si>
    <t>Propiedad de Instalacion</t>
  </si>
  <si>
    <t>Privado</t>
  </si>
  <si>
    <t>Comuna(s) que dispone (n)</t>
  </si>
  <si>
    <t>La Granja  y 16 comunas mas</t>
  </si>
  <si>
    <t>Autorizacion Sanitaria</t>
  </si>
  <si>
    <t>Resolucion Sanitaria nº9813</t>
  </si>
  <si>
    <t>Cuenta con RCA Nº433/2001</t>
  </si>
  <si>
    <t>Poblacion atendida (estimado año 2014)</t>
  </si>
  <si>
    <t>Residuos recibidos (ton/año)</t>
  </si>
  <si>
    <t>Monto Anual por servicio (aprox)</t>
  </si>
  <si>
    <t>ppc (kg/hab dia)</t>
  </si>
  <si>
    <t>6269959 M</t>
  </si>
  <si>
    <t>333138 M</t>
  </si>
  <si>
    <t>Pte. Coord</t>
  </si>
  <si>
    <t>Mediante sistema GPS</t>
  </si>
  <si>
    <t>La Reina</t>
  </si>
  <si>
    <t>TilTil</t>
  </si>
  <si>
    <t>EVALUACIÓN REGIONAL DE LOS SERVICIOS</t>
  </si>
  <si>
    <t>Pedro Aguirre Cerda</t>
  </si>
  <si>
    <t>Estacion de Transferencia</t>
  </si>
  <si>
    <t>212/2001 del 24/04/2001</t>
  </si>
  <si>
    <t>33º 32' 18,65" S</t>
  </si>
  <si>
    <t>google maps</t>
  </si>
  <si>
    <t>70º 42' 10,46" W</t>
  </si>
  <si>
    <t>QUINTA NORMAL</t>
  </si>
  <si>
    <t>EVALUACIÓN REGIONAL DE LOS SERVICIOS DE MANEJO DE RESIDUOS SÓLIDOS MUNICIPALES</t>
  </si>
  <si>
    <t>COLINA</t>
  </si>
  <si>
    <t>KDM S.A</t>
  </si>
  <si>
    <t>ESTACION DE TRANSFERENCIA</t>
  </si>
  <si>
    <t>9.980/1996</t>
  </si>
  <si>
    <t>33°22´15.60"--70°42'06.20"</t>
  </si>
  <si>
    <t>Informacion de PPC y Poblacion atendida de acuerdo a censo 2002 (taza de crecimiento anual 4,96%)</t>
  </si>
  <si>
    <t>LOMAS LOS COLORADOS</t>
  </si>
  <si>
    <t>32°56´44.74"--70°48' 08.22"</t>
  </si>
  <si>
    <t>La Pintana</t>
  </si>
  <si>
    <t>Estación de Transferencia (San Bernardo)</t>
  </si>
  <si>
    <t>PADRE HURTADO</t>
  </si>
  <si>
    <t>PROACTIVA</t>
  </si>
  <si>
    <t xml:space="preserve">Relleno Sanitario </t>
  </si>
  <si>
    <t>024806/2002</t>
  </si>
  <si>
    <t>479/2001</t>
  </si>
  <si>
    <t>24.488,81</t>
  </si>
  <si>
    <t xml:space="preserve">1,2 </t>
  </si>
  <si>
    <t>6.289.506,11</t>
  </si>
  <si>
    <t>325.808,99</t>
  </si>
  <si>
    <t>UTM Datum 56</t>
  </si>
  <si>
    <t>CURACAVÍ</t>
  </si>
  <si>
    <t>LOMA Los Colorados</t>
  </si>
  <si>
    <t>Til til</t>
  </si>
  <si>
    <t>Nº 990 27/06/1995</t>
  </si>
  <si>
    <t>6.352.481 m</t>
  </si>
  <si>
    <t>331.428 m</t>
  </si>
  <si>
    <t>Informe Consolidado de la Evaluación de Impacto Ambiental de la Declaración de Impacto Ambiental del Proyecto "AMPLIACIÓN DEL SISTEMA DE ABATIMIENTO DE BIOGAS; SISTEMA DE CAPTACIÓN, TERMODEGRADACIÓN Y UTILIZACIÓN ENERGÉTICA, EN EL MARCO DEL MECANISMO PARA UN DESARROLLO LIMPIO, EN EL RELLENO SANITARIO LOMA LOS COLORADOS "</t>
  </si>
  <si>
    <t>nov</t>
  </si>
  <si>
    <t>oct</t>
  </si>
  <si>
    <t>sep</t>
  </si>
  <si>
    <t>ago</t>
  </si>
  <si>
    <t>jul</t>
  </si>
  <si>
    <t>jun</t>
  </si>
  <si>
    <t>may</t>
  </si>
  <si>
    <t>abr</t>
  </si>
  <si>
    <t>mar</t>
  </si>
  <si>
    <t>feb</t>
  </si>
  <si>
    <t>ene</t>
  </si>
  <si>
    <t xml:space="preserve">Nombre de instalación </t>
  </si>
  <si>
    <t>KDM S.A.  (Loma Los Colorados)</t>
  </si>
  <si>
    <t>Propiedad instalación</t>
  </si>
  <si>
    <t>Privada (KDM); relleno sanitario</t>
  </si>
  <si>
    <t>Comuna(s) que dispone(n)</t>
  </si>
  <si>
    <t>Cerro Navia, Colina, Conchalí, Curacaví, Huechuraba, Renca, Independencia, La Cisterna, La reina, Lampa, Las Condes, Lo Barnechea, lo Prado, Maipú, Ñuñoa, Providencia, Pudahuel, Quilicura, Quinta Normal, Recoleta, San Miguel, Santiago, Vitacura y Til Til.</t>
  </si>
  <si>
    <t>(Estimado año)</t>
  </si>
  <si>
    <t>AÑOS</t>
  </si>
  <si>
    <t>POBLACION comuna</t>
  </si>
  <si>
    <t>(ton/año)</t>
  </si>
  <si>
    <t>Monto Anual por Servicio (aprox.)</t>
  </si>
  <si>
    <t>Recolección</t>
  </si>
  <si>
    <t>Transporte</t>
  </si>
  <si>
    <t>Disposición Final</t>
  </si>
  <si>
    <t>Ppc (Kg/hab. Día)</t>
  </si>
  <si>
    <t xml:space="preserve">Producción (Kg/año) </t>
  </si>
  <si>
    <t>Producción  Ppc</t>
  </si>
  <si>
    <t>(Kg/hab. Día)</t>
  </si>
  <si>
    <t>Fuente de Coordenada</t>
  </si>
  <si>
    <t>Evaluación Regional de los Servicios de Manejo de los Residuos Sólidos Municipales</t>
  </si>
  <si>
    <r>
      <t>·</t>
    </r>
    <r>
      <rPr>
        <sz val="7"/>
        <color theme="1"/>
        <rFont val="Times New Roman"/>
        <family val="1"/>
      </rPr>
      <t xml:space="preserve">         </t>
    </r>
    <r>
      <rPr>
        <sz val="10"/>
        <color theme="1"/>
        <rFont val="Verdana"/>
        <family val="2"/>
      </rPr>
      <t>Por EMERES, se recolectan 04 Puntos limpios, pero la cantidad en kilos es insignificante.</t>
    </r>
  </si>
  <si>
    <r>
      <t>·</t>
    </r>
    <r>
      <rPr>
        <sz val="7"/>
        <color theme="1"/>
        <rFont val="Times New Roman"/>
        <family val="1"/>
      </rPr>
      <t xml:space="preserve">         </t>
    </r>
    <r>
      <rPr>
        <sz val="10"/>
        <color theme="1"/>
        <rFont val="Verdana"/>
        <family val="2"/>
      </rPr>
      <t>Según KDM, atienden a una población estimada total de 3.360.777 habitantes (año 2014).</t>
    </r>
  </si>
  <si>
    <r>
      <t>·</t>
    </r>
    <r>
      <rPr>
        <sz val="7"/>
        <color theme="1"/>
        <rFont val="Times New Roman"/>
        <family val="1"/>
      </rPr>
      <t xml:space="preserve">         </t>
    </r>
    <r>
      <rPr>
        <sz val="10"/>
        <color theme="1"/>
        <rFont val="Verdana"/>
        <family val="2"/>
      </rPr>
      <t>Población atendida, datos pedidos a SECPLAC de la Municipalidad de La Cisterna, basado en datos del INE.</t>
    </r>
  </si>
  <si>
    <r>
      <t>·</t>
    </r>
    <r>
      <rPr>
        <sz val="7"/>
        <color theme="1"/>
        <rFont val="Times New Roman"/>
        <family val="1"/>
      </rPr>
      <t xml:space="preserve">         </t>
    </r>
    <r>
      <rPr>
        <sz val="10"/>
        <color theme="1"/>
        <rFont val="Verdana"/>
        <family val="2"/>
      </rPr>
      <t>Monto anual por servicio, valores de la Municipalidad.</t>
    </r>
  </si>
  <si>
    <r>
      <t>·</t>
    </r>
    <r>
      <rPr>
        <sz val="7"/>
        <color theme="1"/>
        <rFont val="Times New Roman"/>
        <family val="1"/>
      </rPr>
      <t xml:space="preserve">         </t>
    </r>
    <r>
      <rPr>
        <sz val="10"/>
        <color theme="1"/>
        <rFont val="Verdana"/>
        <family val="2"/>
      </rPr>
      <t>Año 2014 Ppc sube por las nuevas viviendas entregadas.</t>
    </r>
  </si>
  <si>
    <t>NOMBRE DE INSTALACION</t>
  </si>
  <si>
    <t>Relleno Sanitario Santa Marta ( Privado )</t>
  </si>
  <si>
    <t>PROPIEDAD DE INSTALACION</t>
  </si>
  <si>
    <t>COMUNA QUE DISPONEN</t>
  </si>
  <si>
    <t>17 comunas</t>
  </si>
  <si>
    <t>AUTORIZACION SANITARIA</t>
  </si>
  <si>
    <t>Si</t>
  </si>
  <si>
    <t>POBLACION ATENDIDA</t>
  </si>
  <si>
    <t>RESIDUOS ENVIADOS A RELLENO SANITARIO</t>
  </si>
  <si>
    <t>MONTO ANUAL POR SERVICIO</t>
  </si>
  <si>
    <t>PPC (KG/HAB/DIA)</t>
  </si>
  <si>
    <t>FTE COORD.</t>
  </si>
  <si>
    <t>Arc gis 10.1</t>
  </si>
  <si>
    <t>COMENTARIO</t>
  </si>
  <si>
    <t>Lo señalado en los puntos 7,8,9 y 10 corresponde a datos de la comuna de La Florida.</t>
  </si>
  <si>
    <t>(No incluye voluminosos)</t>
  </si>
  <si>
    <t xml:space="preserve"> </t>
  </si>
  <si>
    <t xml:space="preserve">Población </t>
  </si>
  <si>
    <t>Residuos</t>
  </si>
  <si>
    <t xml:space="preserve">Nombre </t>
  </si>
  <si>
    <t>Comuna en que se ubica</t>
  </si>
  <si>
    <t>Propiedad</t>
  </si>
  <si>
    <t>Comunas que disponen instalación</t>
  </si>
  <si>
    <t xml:space="preserve">Autorización </t>
  </si>
  <si>
    <t>Atendida</t>
  </si>
  <si>
    <t>Enviados</t>
  </si>
  <si>
    <t>Monto anual</t>
  </si>
  <si>
    <t>ppc</t>
  </si>
  <si>
    <t>UTM</t>
  </si>
  <si>
    <t>Fuente de la</t>
  </si>
  <si>
    <t>Instalación</t>
  </si>
  <si>
    <t>la instalación</t>
  </si>
  <si>
    <t xml:space="preserve"> instalación</t>
  </si>
  <si>
    <t>sanitaria</t>
  </si>
  <si>
    <t>(Estimado</t>
  </si>
  <si>
    <t>aprox.</t>
  </si>
  <si>
    <t>(kg/hab.día)</t>
  </si>
  <si>
    <t>NORTE</t>
  </si>
  <si>
    <t>ESTE</t>
  </si>
  <si>
    <t>coordenada</t>
  </si>
  <si>
    <t>año 2014)</t>
  </si>
  <si>
    <t>Consorcio Santa Marta S.A. (Privada)</t>
  </si>
  <si>
    <t>Mayo 2014 a Abril 2015</t>
  </si>
  <si>
    <t>Monto</t>
  </si>
  <si>
    <t>Recolección y Transporte de RSD y RNSD</t>
  </si>
  <si>
    <t>1,259,751,816</t>
  </si>
  <si>
    <t xml:space="preserve">Transporte y tratamiento a Relleno Sanitario </t>
  </si>
  <si>
    <t>551,043,302</t>
  </si>
  <si>
    <t>TOTAL</t>
  </si>
  <si>
    <t>1,810,795,118</t>
  </si>
  <si>
    <t xml:space="preserve">Total Año 2014 </t>
  </si>
  <si>
    <t>San Joaquin</t>
  </si>
  <si>
    <t>Producción de residuos per cápita (kg/hab.día)</t>
  </si>
  <si>
    <t>100.000 habitantes </t>
  </si>
  <si>
    <t>53.046,14 toneladas año 2014 </t>
  </si>
  <si>
    <t> 1,45 Kg / ha. día</t>
  </si>
  <si>
    <t>LAMPA</t>
  </si>
  <si>
    <t>GALPONES PATIO</t>
  </si>
  <si>
    <t>TILTIL</t>
  </si>
  <si>
    <t>Meses</t>
  </si>
  <si>
    <t>Kilogramos Mensuales</t>
  </si>
  <si>
    <t>Kilos diarios</t>
  </si>
  <si>
    <t>KG/Habitantes Per- cápita</t>
  </si>
  <si>
    <t> BIO REC LTDA.</t>
  </si>
  <si>
    <t>BRAVO ENERGY</t>
  </si>
  <si>
    <t>Enero</t>
  </si>
  <si>
    <t xml:space="preserve">      2.448.950   </t>
  </si>
  <si>
    <t xml:space="preserve">              78.998   </t>
  </si>
  <si>
    <t>0,99</t>
  </si>
  <si>
    <t xml:space="preserve">          33.220.000   </t>
  </si>
  <si>
    <t>Febrero</t>
  </si>
  <si>
    <t xml:space="preserve">      2.285.440   </t>
  </si>
  <si>
    <t xml:space="preserve">              81.623   </t>
  </si>
  <si>
    <t>1,03</t>
  </si>
  <si>
    <t>Marzo</t>
  </si>
  <si>
    <t xml:space="preserve">      2.596.580   </t>
  </si>
  <si>
    <t xml:space="preserve">              83.761   </t>
  </si>
  <si>
    <t>1,05</t>
  </si>
  <si>
    <t xml:space="preserve">          17.247.213   </t>
  </si>
  <si>
    <t xml:space="preserve">          233.554   </t>
  </si>
  <si>
    <t>Abril</t>
  </si>
  <si>
    <t xml:space="preserve">      2.374.860   </t>
  </si>
  <si>
    <t xml:space="preserve">              79.162   </t>
  </si>
  <si>
    <t>1,00</t>
  </si>
  <si>
    <t xml:space="preserve">          34.410.000   </t>
  </si>
  <si>
    <t xml:space="preserve">          64.837.455   </t>
  </si>
  <si>
    <t xml:space="preserve">      1.040.476   </t>
  </si>
  <si>
    <t>Mayo</t>
  </si>
  <si>
    <t xml:space="preserve">      2.320.100   </t>
  </si>
  <si>
    <t xml:space="preserve">              74.842   </t>
  </si>
  <si>
    <t>0,94</t>
  </si>
  <si>
    <t xml:space="preserve">          20.348.701   </t>
  </si>
  <si>
    <t>Junio</t>
  </si>
  <si>
    <t xml:space="preserve">      2.205.060   </t>
  </si>
  <si>
    <t xml:space="preserve">              73.502   </t>
  </si>
  <si>
    <t>0,93</t>
  </si>
  <si>
    <t xml:space="preserve">          250.165   </t>
  </si>
  <si>
    <t>Julio</t>
  </si>
  <si>
    <t xml:space="preserve">      2.311.780   </t>
  </si>
  <si>
    <t xml:space="preserve">              74.574   </t>
  </si>
  <si>
    <t xml:space="preserve">          36.150.000   </t>
  </si>
  <si>
    <t xml:space="preserve">          246.617   </t>
  </si>
  <si>
    <t>Agosto</t>
  </si>
  <si>
    <t xml:space="preserve">      2.373.900   </t>
  </si>
  <si>
    <t xml:space="preserve">              76.577   </t>
  </si>
  <si>
    <t>0,96</t>
  </si>
  <si>
    <t xml:space="preserve">          57.838.662   </t>
  </si>
  <si>
    <t xml:space="preserve">          528.657   </t>
  </si>
  <si>
    <t>Septiembre</t>
  </si>
  <si>
    <t xml:space="preserve">      2.587.500   </t>
  </si>
  <si>
    <t xml:space="preserve">              86.250   </t>
  </si>
  <si>
    <t>1,09</t>
  </si>
  <si>
    <t xml:space="preserve">          20.082.551   </t>
  </si>
  <si>
    <t>Octubre</t>
  </si>
  <si>
    <t xml:space="preserve">      2.655.570   </t>
  </si>
  <si>
    <t xml:space="preserve">              85.664   </t>
  </si>
  <si>
    <t>1,08</t>
  </si>
  <si>
    <t xml:space="preserve">          272.073   </t>
  </si>
  <si>
    <t>Noviembre</t>
  </si>
  <si>
    <t xml:space="preserve">      2.359.530   </t>
  </si>
  <si>
    <t xml:space="preserve">              78.651   </t>
  </si>
  <si>
    <t xml:space="preserve">          37.520.560   </t>
  </si>
  <si>
    <t xml:space="preserve">          44.354.953   </t>
  </si>
  <si>
    <t xml:space="preserve">          295.044   </t>
  </si>
  <si>
    <t>Diciembre</t>
  </si>
  <si>
    <t xml:space="preserve">      2.836.190   </t>
  </si>
  <si>
    <t xml:space="preserve">              91.490   </t>
  </si>
  <si>
    <t>1,15</t>
  </si>
  <si>
    <t xml:space="preserve">          20.959.030   </t>
  </si>
  <si>
    <t xml:space="preserve">          544.194   </t>
  </si>
  <si>
    <t>Suma</t>
  </si>
  <si>
    <t xml:space="preserve">    29.355.460   </t>
  </si>
  <si>
    <t xml:space="preserve">            965.093   </t>
  </si>
  <si>
    <t xml:space="preserve">        422.531.120   </t>
  </si>
  <si>
    <t xml:space="preserve">        245.668.565   </t>
  </si>
  <si>
    <t xml:space="preserve">      3.410.780   </t>
  </si>
  <si>
    <t>Promedios</t>
  </si>
  <si>
    <t xml:space="preserve">      2.446.288   </t>
  </si>
  <si>
    <t xml:space="preserve">              80.424   </t>
  </si>
  <si>
    <t xml:space="preserve">          35.210.927   </t>
  </si>
  <si>
    <t xml:space="preserve">          35.095.509   </t>
  </si>
  <si>
    <t xml:space="preserve">          426.348   </t>
  </si>
  <si>
    <t>9979/2001</t>
  </si>
  <si>
    <t>9070/2002
9813/2002</t>
  </si>
  <si>
    <t>34944/2014</t>
  </si>
  <si>
    <t>6289506,11 m</t>
  </si>
  <si>
    <t>325808,99 m</t>
  </si>
  <si>
    <t>6256439 m</t>
  </si>
  <si>
    <t>285556 m</t>
  </si>
  <si>
    <t>6352781 m</t>
  </si>
  <si>
    <t>331311 m</t>
  </si>
  <si>
    <t>Vida útil prevista 2022. Además particulares disponen 171.726 ton año 2006</t>
  </si>
  <si>
    <t>Vida útil prevista 2025. Además particulares disponen 134.126 ton año 2006</t>
  </si>
  <si>
    <t>Vida útil prevista: fines de 2007</t>
  </si>
  <si>
    <t>Vida útil prevista 2041. Además particulares disponen 155.819 ton año 2006</t>
  </si>
  <si>
    <t>Residuos enviados tipo de instalacion/ Total residuos enviados</t>
  </si>
  <si>
    <t>Alhué</t>
  </si>
  <si>
    <t>Vertedero Controlado</t>
  </si>
  <si>
    <t>3.594/1999</t>
  </si>
  <si>
    <t>S/I</t>
  </si>
  <si>
    <t xml:space="preserve">33°48'32"S   </t>
  </si>
  <si>
    <t>71°18'58"W</t>
  </si>
  <si>
    <t>googlemaps</t>
  </si>
  <si>
    <t>Til - Til</t>
  </si>
  <si>
    <t>0.85</t>
  </si>
  <si>
    <t>Relleno</t>
  </si>
  <si>
    <t>BUIN</t>
  </si>
  <si>
    <t>PEÑAFLOR</t>
  </si>
  <si>
    <t>6288919.00</t>
  </si>
  <si>
    <t>326086.00</t>
  </si>
  <si>
    <t>GOOGLE EARTH</t>
  </si>
  <si>
    <t>LICITACION ID 2732-26-LP13</t>
  </si>
  <si>
    <t>Monto anual aprox.(*)</t>
  </si>
  <si>
    <t>Cerro Navia</t>
  </si>
  <si>
    <t>Relleno Sanitario “Lomas Los Colorados” KDM S.A.</t>
  </si>
  <si>
    <t>M$1.657.765</t>
  </si>
  <si>
    <t>Proporcionada por KDM S.A.</t>
  </si>
  <si>
    <t>(*)</t>
  </si>
  <si>
    <t>1) Serv. Recolección y Transporte Residuos Domiciliarios, Aseo de Ferias y Barrido Calles M$1.034.453</t>
  </si>
  <si>
    <t>2) Disposición Intermedia y Final M$511.976</t>
  </si>
  <si>
    <t>3) Serv. Retiro y Transporte de Escombros y Microbasurales M$104.769</t>
  </si>
  <si>
    <t>4) Asesoría Inspección Técnica Disposición Intermedia y Final M$6.567</t>
  </si>
  <si>
    <t>Huechuraba</t>
  </si>
  <si>
    <t>LO PRADO</t>
  </si>
  <si>
    <t>Relleno sanitario</t>
  </si>
  <si>
    <t>35 AÑOS</t>
  </si>
  <si>
    <t>aprox. Año 2014</t>
  </si>
  <si>
    <t>151.459,54</t>
  </si>
  <si>
    <t>1.9 Kg</t>
  </si>
  <si>
    <t>Renca</t>
  </si>
  <si>
    <t>Planta de transferencia</t>
  </si>
  <si>
    <t>6306261.47mS</t>
  </si>
  <si>
    <t>341781.24mE</t>
  </si>
  <si>
    <t>Gogle earth</t>
  </si>
  <si>
    <t xml:space="preserve">El total de residuos informado corresponde a sólo los domicialiarios de la comuna de Renca. No estan incluidos los escombros y voluminosos en total se envían 6.078 toneladas mensuales a KDM </t>
  </si>
  <si>
    <t>Disposición final</t>
  </si>
  <si>
    <t>Empresa KDM</t>
  </si>
  <si>
    <t xml:space="preserve">El N° de Resolución sanitaria y RCA, así como las cordemadas son las que informó la empresa KDM. </t>
  </si>
  <si>
    <t>Vertedero de Popeta</t>
  </si>
  <si>
    <t>Resolcucón Sanitaria Nº 12986 de 28d e mayo de 2003</t>
  </si>
  <si>
    <t>sin Rca fue aprobada antes de SEIA</t>
  </si>
  <si>
    <t>50 mil</t>
  </si>
  <si>
    <t>utm datum wsg 84</t>
  </si>
  <si>
    <t>PLANTA DE TRANSFERENCIA</t>
  </si>
  <si>
    <t>Los Esteros S.A.</t>
  </si>
  <si>
    <t>DISPOSICION FINAL</t>
  </si>
  <si>
    <t>0,10 aprox</t>
  </si>
  <si>
    <t>RESCON</t>
  </si>
  <si>
    <t>SAN RAMON</t>
  </si>
  <si>
    <t>CONSORCIO SANTA MARTA</t>
  </si>
  <si>
    <t xml:space="preserve">El Bosque </t>
  </si>
  <si>
    <t xml:space="preserve">Consorio Santa Marta </t>
  </si>
  <si>
    <t xml:space="preserve">Planta de transferencia </t>
  </si>
  <si>
    <t xml:space="preserve">San Bernardo </t>
  </si>
  <si>
    <t xml:space="preserve">Valor anual solamente incluye servicio disposición final </t>
  </si>
  <si>
    <t>Valor corresponde al servicio de aseo comunal e inspección técnica Emeres</t>
  </si>
  <si>
    <t>Total Servicios Aseo, Disposición Final e Inspección Técnica</t>
  </si>
  <si>
    <t>Isla de Maipo</t>
  </si>
  <si>
    <t>Proactiva Servicio Urbanos S.A</t>
  </si>
  <si>
    <t>Contrato vigente con Proactiva hasta el año 2024 para la disposición final y con la Empresa de Servicios Aromos Ltda. para la recolección y el traslado hasta el año 2017.</t>
  </si>
  <si>
    <t>María Pinto</t>
  </si>
  <si>
    <t xml:space="preserve">Relleno sanitario </t>
  </si>
  <si>
    <t>Estación de transferencia</t>
  </si>
  <si>
    <t>327,406 al Vertedero</t>
  </si>
  <si>
    <t>4 Kg/ mes/ hab.</t>
  </si>
  <si>
    <t>KDM, Recibe solo residuos no Domiciliarios y María Pinto tiene un calendario programado Anual que corresponde al Dia del Cachureo.</t>
  </si>
  <si>
    <t>EMPRESAS CONTRATISTAS</t>
  </si>
  <si>
    <t>CTS Tradicional</t>
  </si>
  <si>
    <t>$58,405,200 Anual por Retiro Traslaso y Disposición final.</t>
  </si>
  <si>
    <t>3R Diferenciado</t>
  </si>
  <si>
    <t>$ 31,583,988 Anual por retiro y traslado.</t>
  </si>
  <si>
    <t>En Recolección, Traslado y Disposición final fue de Aprox $100.000.000.
Involucrando a CTS, 3R, Servicios Municipales, Vertedero, etc.</t>
  </si>
  <si>
    <t>Total:</t>
  </si>
  <si>
    <t>Estacion Central</t>
  </si>
  <si>
    <t>Padre Hurtado, Peñalolén, El Monte, Cerrillos, Peñaflor, Isla de Maipo</t>
  </si>
  <si>
    <t>San Pedro, Alhué, Melipilla, María Pinto</t>
  </si>
  <si>
    <t>Conchali</t>
  </si>
  <si>
    <t>MUNICIPALIDAD DE CONCHALI</t>
  </si>
  <si>
    <t>DIRECCION DE ASEO Y ORNATO</t>
  </si>
  <si>
    <t>SERVICIO</t>
  </si>
  <si>
    <t>TRANSFICH</t>
  </si>
  <si>
    <t>BRAVO 
ENERGY</t>
  </si>
  <si>
    <t>TOTAL 
MENSUAL</t>
  </si>
  <si>
    <t>MESES</t>
  </si>
  <si>
    <t>Servicio 
Trat. Intermedio y Transporte</t>
  </si>
  <si>
    <t>Servicio de 
Disposición Final</t>
  </si>
  <si>
    <t>Barrido de Calles</t>
  </si>
  <si>
    <t>Servicio de Arriendo 
de Camiones mantención
 Areas Verdes</t>
  </si>
  <si>
    <t>"Recoleccion 
Basura 
Domiciliaria y Retiro de Voluminoso y Aseo en Ferias Libres"</t>
  </si>
  <si>
    <t>Arriendo Camiones Tipo Ampliroll</t>
  </si>
  <si>
    <t>Inspección
Técnica</t>
  </si>
  <si>
    <t>Ampliación Contrato Entrega de Contenedores</t>
  </si>
  <si>
    <t>ENERO</t>
  </si>
  <si>
    <t>FEBRERO</t>
  </si>
  <si>
    <t>MARZO</t>
  </si>
  <si>
    <t>ABRIL</t>
  </si>
  <si>
    <t>MAYO</t>
  </si>
  <si>
    <t>JUNIO</t>
  </si>
  <si>
    <t>JULIO</t>
  </si>
  <si>
    <t>AGOSTO</t>
  </si>
  <si>
    <t>SEPTIEMBRE</t>
  </si>
  <si>
    <t>OCTUBRE</t>
  </si>
  <si>
    <t>Contrato termina
 el 31 de agosto 2014</t>
  </si>
  <si>
    <t>NOVIEMBRE</t>
  </si>
  <si>
    <t>Contrato termina 
 el 31 de octubre 2014</t>
  </si>
  <si>
    <t>DICIEMBRE</t>
  </si>
  <si>
    <t>TOTAL ANUAL</t>
  </si>
  <si>
    <t>FERIAS LIBRES</t>
  </si>
  <si>
    <t>Pagina 2</t>
  </si>
  <si>
    <t>MES</t>
  </si>
  <si>
    <t>TON.</t>
  </si>
  <si>
    <t>Nº VIAJES</t>
  </si>
  <si>
    <t>ENE.</t>
  </si>
  <si>
    <t>FEB.</t>
  </si>
  <si>
    <t>MAR.</t>
  </si>
  <si>
    <t xml:space="preserve">JULIO </t>
  </si>
  <si>
    <t>AGOS.</t>
  </si>
  <si>
    <t>SEP.</t>
  </si>
  <si>
    <t>OCT.</t>
  </si>
  <si>
    <t>NOV.</t>
  </si>
  <si>
    <t>DIC.</t>
  </si>
  <si>
    <t>Observación: Se visualiza un 13,4% de mayor retiro a partir del mes de mayo.</t>
  </si>
  <si>
    <t>RETIRO MUNICIPAL VOLUMINOSO</t>
  </si>
  <si>
    <t>Pagina 3</t>
  </si>
  <si>
    <t>Observación: Se visualiza un manejo retiro de voluminoso de 39,5% a partir de mayo.</t>
  </si>
  <si>
    <t>RESIDUOS SOLIDOS DOMICILIARIOS 2014</t>
  </si>
  <si>
    <t xml:space="preserve">INGRESO PER CAPITA DE RSD AÑO 2014 </t>
  </si>
  <si>
    <t>KILOS ANUALES</t>
  </si>
  <si>
    <t>PER CAPITA POR PERSONA</t>
  </si>
  <si>
    <t>AMPLIROLL RSD (RETIRO VOLUMINOSO)</t>
  </si>
  <si>
    <t>Pagina 5</t>
  </si>
  <si>
    <t>AMPLIROLL ARRENDADO(RETIRO VOLUMINOSO)</t>
  </si>
  <si>
    <t>Pagina 6</t>
  </si>
  <si>
    <t>CONTRATO TERMINADO
31 OCTUBRE 2014</t>
  </si>
  <si>
    <t>Observación: Se visualiza una baja de -9,8% a partir del mes de mayo.</t>
  </si>
  <si>
    <t>AREAS VERDES EMPRESA HMP</t>
  </si>
  <si>
    <t>Pagina 7</t>
  </si>
  <si>
    <t>CONTRATO TERMINADO
 POR EMPRESA</t>
  </si>
  <si>
    <t>Observación: Se visualiza un aumento de 0,1% a partir del mes de mayo.</t>
  </si>
  <si>
    <t>AREAS VERDES EMPRESA HIDROSYM</t>
  </si>
  <si>
    <t>Pagina 8</t>
  </si>
  <si>
    <t xml:space="preserve">TOTAL </t>
  </si>
  <si>
    <t>SEPT.</t>
  </si>
  <si>
    <t>Observación: Se visualiza un mayor retiro de desechos a partir de mayo en un 90,7%</t>
  </si>
  <si>
    <t>Recoleta, San Miguel, Independencia, Ñuñoa, Lo Barnechea, Vitacura, Pudahuel, Santiago, Providencia, Quilicura, Las Condes, La Reina, Quinta Normal, Colina, Curacaví, La Cisterna, Lampa, Til Til, Cerro Navia, Huechuraba, Renca, Lo Prado, Maipu</t>
  </si>
  <si>
    <t>Lo Espejo, San Joaquín, Calera de Tango, Pirque, Macul, Paine, San Jose de Maipo, La Granja, PAC, La Pintana, La Florida, Puente Alto, Talagante, Buin, San Bernardo, San Ramón, El Bosque, Estacion Central, Conchali</t>
  </si>
  <si>
    <t>Marco de la solicitud</t>
  </si>
  <si>
    <t>Programa Nacional de Residuos Sólidos (SUBDERE)</t>
  </si>
  <si>
    <t>Fuente de la información</t>
  </si>
  <si>
    <t>Unidad de Aseo y Ornato de cada Municipalidad</t>
  </si>
  <si>
    <t>· Información sobre los destinos finales (tipo de instalación, ubicación y coordenadas, resolución de calificación ambiental, autorización sanitaria)</t>
  </si>
  <si>
    <t>· Población atendida el año 2014</t>
  </si>
  <si>
    <t>· Producción per cápita de residuos (kg/hab/día)</t>
  </si>
  <si>
    <t>NOTA: LOS RESIDUOS DOMICILIARIOS DE LA COMUNA DE LO BARNECHEA SON DEPOSITADOS EN LA PLANTA DE TRANSFERENCIA UBICADA EN LA COMUNA DE QUILICURA, LA EMPRESA KDM TRASNPORTA LOS RESIDUOS AL RELLENO SANITARIO. VIDA UTIL RELLENO SANITARIO HASTA EL AÑO 2045</t>
  </si>
  <si>
    <t>Informe Consolidado de la Evaluación de Impacto Ambiental de la Declaración de Impacto Ambiental del Proyecto "AMPLIACIÓN DEL SISTEMA DE ABATIMIENTO DE BIOGAS; SISTEMA DE CAPTACIÓN, TERMODEGRADACIÓN Y UTILIZACIÓN ENERGÉTICA, EN EL MARCO DEL MECANISMO PARA UN DESARROLLO LIMPIO, EN EL RELLENO SANITARIO LOMA LOS COLORADOS"</t>
  </si>
  <si>
    <t>7739,12</t>
  </si>
  <si>
    <t>Puente Alto</t>
  </si>
  <si>
    <t>Relleno Sanitario Popeta recibe solo RSD.
En Recolección, Traslado y Disposición final fue de Aprox $100.000.000.
Involucrando a CTS, 3R, Servicios Municipales, Vertedero, etc.</t>
  </si>
  <si>
    <t>La Cisterna</t>
  </si>
  <si>
    <t>Por EMERES, se recolectan 04 Puntos limpios, pero la cantidad en kilos es insignificante.</t>
  </si>
  <si>
    <t>La Florida</t>
  </si>
  <si>
    <t>La Granja</t>
  </si>
  <si>
    <t>Estación de Transferencia Lomas los Colorados KDM S.A</t>
  </si>
  <si>
    <t>Relleno Lomas los Colorados KDM S.A</t>
  </si>
  <si>
    <t>Proactiva Servicio Urbanos S.A - Santiago Poniente</t>
  </si>
  <si>
    <t>9813/2003</t>
  </si>
  <si>
    <t>9813/2004</t>
  </si>
  <si>
    <t>12986/2002</t>
  </si>
  <si>
    <t>1.9</t>
  </si>
  <si>
    <t>Especificaciones</t>
  </si>
  <si>
    <t>· Toneladas de residuos enviados por año, durante el año 2014</t>
  </si>
  <si>
    <t>·Monto total gastado por cada Municipio en item aseo (recolección, transporte y disposición final) en miles de pesos por año</t>
  </si>
  <si>
    <t>Julio de 2015</t>
  </si>
  <si>
    <t>Fecha de la información</t>
  </si>
  <si>
    <t>CATASTRO DE SITIOS DE DISPOSICIÓN FINAL DE RESIDUOS SÓLIDOS DOMICILIARIOS, EN LA REGION METROPOLITANA DE SANTIAGO</t>
  </si>
  <si>
    <t xml:space="preserve"> Solicitud de la información </t>
  </si>
  <si>
    <t>Circular Intendente Metropolitano N° 14 del 15 de mayo de 2015</t>
  </si>
</sst>
</file>

<file path=xl/styles.xml><?xml version="1.0" encoding="utf-8"?>
<styleSheet xmlns="http://schemas.openxmlformats.org/spreadsheetml/2006/main">
  <numFmts count="21">
    <numFmt numFmtId="6" formatCode="&quot;$&quot;\ #,##0;[Red]\-&quot;$&quot;\ #,##0"/>
    <numFmt numFmtId="44" formatCode="_-&quot;$&quot;\ * #,##0.00_-;\-&quot;$&quot;\ * #,##0.00_-;_-&quot;$&quot;\ * &quot;-&quot;??_-;_-@_-"/>
    <numFmt numFmtId="43" formatCode="_-* #,##0.00_-;\-* #,##0.00_-;_-* &quot;-&quot;??_-;_-@_-"/>
    <numFmt numFmtId="164" formatCode="&quot;$&quot;\ #,##0"/>
    <numFmt numFmtId="165" formatCode="0.0"/>
    <numFmt numFmtId="166" formatCode="_ * #,##0.00_ ;_ * \-#,##0.00_ ;_ * &quot;-&quot;??_ ;_ @_ "/>
    <numFmt numFmtId="167" formatCode="_ * #,##0_ ;_ * \-#,##0_ ;_ * &quot;-&quot;??_ ;_ @_ "/>
    <numFmt numFmtId="168" formatCode="#,##0.0"/>
    <numFmt numFmtId="169" formatCode="[$$-340A]\ #,##0"/>
    <numFmt numFmtId="170" formatCode="0.000"/>
    <numFmt numFmtId="171" formatCode="_-* #,##0.00\ _€_-;\-* #,##0.00\ _€_-;_-* &quot;-&quot;??\ _€_-;_-@_-"/>
    <numFmt numFmtId="172" formatCode="_-* #,##0\ _€_-;\-* #,##0\ _€_-;_-* &quot;-&quot;??\ _€_-;_-@_-"/>
    <numFmt numFmtId="173" formatCode="_-* #,##0_-;\-* #,##0_-;_-* &quot;-&quot;??_-;_-@_-"/>
    <numFmt numFmtId="174" formatCode="0.00000"/>
    <numFmt numFmtId="175" formatCode="_-* #,##0.000_-;\-* #,##0.000_-;_-* &quot;-&quot;??_-;_-@_-"/>
    <numFmt numFmtId="176" formatCode="_-&quot;$&quot;* #,##0.00_-;\-&quot;$&quot;* #,##0.00_-;_-&quot;$&quot;* &quot;-&quot;??_-;_-@_-"/>
    <numFmt numFmtId="177" formatCode="_-&quot;$&quot;* #,##0_-;\-&quot;$&quot;* #,##0_-;_-&quot;$&quot;* &quot;-&quot;??_-;_-@_-"/>
    <numFmt numFmtId="178" formatCode="_-&quot;$&quot;\ * #,##0_-;\-&quot;$&quot;\ * #,##0_-;_-&quot;$&quot;\ * &quot;-&quot;??_-;_-@_-"/>
    <numFmt numFmtId="179" formatCode="_-&quot;$ &quot;* #,##0.00_-;&quot;-$ &quot;* #,##0.00_-;_-&quot;$ &quot;* \-??_-;_-@_-"/>
    <numFmt numFmtId="180" formatCode="0.0000"/>
    <numFmt numFmtId="181" formatCode="_(&quot;$&quot;\ * #,##0_);_(&quot;$&quot;\ * \(#,##0\);_(&quot;$&quot;\ * &quot;-&quot;_);_(@_)"/>
  </numFmts>
  <fonts count="68">
    <font>
      <sz val="11"/>
      <color theme="1"/>
      <name val="Calibri"/>
      <family val="2"/>
      <scheme val="minor"/>
    </font>
    <font>
      <sz val="11"/>
      <color theme="1"/>
      <name val="Calibri"/>
      <family val="2"/>
      <scheme val="minor"/>
    </font>
    <font>
      <b/>
      <sz val="12"/>
      <name val="Arial"/>
      <family val="2"/>
    </font>
    <font>
      <sz val="12"/>
      <name val="Arial"/>
      <family val="2"/>
    </font>
    <font>
      <sz val="12"/>
      <color indexed="17"/>
      <name val="Arial"/>
      <family val="2"/>
    </font>
    <font>
      <b/>
      <sz val="11"/>
      <color theme="1"/>
      <name val="Calibri"/>
      <family val="2"/>
      <scheme val="minor"/>
    </font>
    <font>
      <sz val="11"/>
      <color theme="1"/>
      <name val="Calibri"/>
      <family val="2"/>
    </font>
    <font>
      <sz val="10"/>
      <name val="Arial"/>
      <family val="2"/>
    </font>
    <font>
      <b/>
      <sz val="9"/>
      <color indexed="81"/>
      <name val="Tahoma"/>
      <family val="2"/>
    </font>
    <font>
      <sz val="9"/>
      <color indexed="81"/>
      <name val="Tahoma"/>
      <family val="2"/>
    </font>
    <font>
      <b/>
      <sz val="9"/>
      <name val="Arial"/>
      <family val="2"/>
    </font>
    <font>
      <sz val="9"/>
      <color theme="1"/>
      <name val="Calibri"/>
      <family val="2"/>
      <scheme val="minor"/>
    </font>
    <font>
      <sz val="10"/>
      <name val="Calibri"/>
      <family val="2"/>
      <scheme val="minor"/>
    </font>
    <font>
      <sz val="10"/>
      <color theme="1"/>
      <name val="Calibri"/>
      <family val="2"/>
      <scheme val="minor"/>
    </font>
    <font>
      <sz val="11"/>
      <color theme="1"/>
      <name val="Arial"/>
      <family val="2"/>
    </font>
    <font>
      <sz val="12"/>
      <color theme="1"/>
      <name val="Calibri"/>
      <family val="2"/>
      <scheme val="minor"/>
    </font>
    <font>
      <sz val="9"/>
      <color theme="1"/>
      <name val="Arial"/>
      <family val="2"/>
    </font>
    <font>
      <sz val="9"/>
      <name val="Arial"/>
      <family val="2"/>
    </font>
    <font>
      <sz val="8"/>
      <name val="Arial"/>
      <family val="2"/>
    </font>
    <font>
      <sz val="8"/>
      <color theme="1"/>
      <name val="Calibri"/>
      <family val="2"/>
      <scheme val="minor"/>
    </font>
    <font>
      <sz val="12"/>
      <color rgb="FF000000"/>
      <name val="Times New Roman"/>
      <family val="1"/>
    </font>
    <font>
      <b/>
      <sz val="16"/>
      <color theme="1"/>
      <name val="Calibri"/>
      <family val="2"/>
      <scheme val="minor"/>
    </font>
    <font>
      <sz val="12"/>
      <color theme="1"/>
      <name val="Arial"/>
      <family val="2"/>
    </font>
    <font>
      <b/>
      <sz val="9"/>
      <color theme="1"/>
      <name val="Arial Narrow"/>
      <family val="2"/>
    </font>
    <font>
      <sz val="12"/>
      <color indexed="8"/>
      <name val="Calibri"/>
      <family val="2"/>
    </font>
    <font>
      <sz val="11"/>
      <color indexed="8"/>
      <name val="Calibri"/>
      <family val="2"/>
    </font>
    <font>
      <sz val="12"/>
      <color indexed="8"/>
      <name val="Arial"/>
      <family val="2"/>
    </font>
    <font>
      <b/>
      <sz val="10"/>
      <color rgb="FF000000"/>
      <name val="Arial"/>
      <family val="2"/>
    </font>
    <font>
      <sz val="10"/>
      <color rgb="FF000000"/>
      <name val="Arial"/>
      <family val="2"/>
    </font>
    <font>
      <sz val="7"/>
      <color rgb="FF000000"/>
      <name val="Times New Roman"/>
      <family val="1"/>
    </font>
    <font>
      <b/>
      <sz val="10"/>
      <name val="Arial"/>
      <family val="2"/>
    </font>
    <font>
      <sz val="10"/>
      <color indexed="8"/>
      <name val="Arial"/>
      <family val="2"/>
    </font>
    <font>
      <sz val="14"/>
      <color rgb="FF000000"/>
      <name val="Times New Roman"/>
      <family val="1"/>
    </font>
    <font>
      <sz val="8"/>
      <color rgb="FF000000"/>
      <name val="Times New Roman"/>
      <family val="1"/>
    </font>
    <font>
      <b/>
      <sz val="10"/>
      <color theme="1"/>
      <name val="Verdana"/>
      <family val="2"/>
    </font>
    <font>
      <sz val="10"/>
      <color theme="1"/>
      <name val="Verdana"/>
      <family val="2"/>
    </font>
    <font>
      <sz val="11"/>
      <color rgb="FF000000"/>
      <name val="Calibri"/>
      <family val="2"/>
      <scheme val="minor"/>
    </font>
    <font>
      <sz val="11"/>
      <color theme="1"/>
      <name val="Calibri Light"/>
      <family val="2"/>
    </font>
    <font>
      <sz val="11"/>
      <color rgb="FF000000"/>
      <name val="Calibri Light"/>
      <family val="2"/>
    </font>
    <font>
      <sz val="10"/>
      <color theme="1"/>
      <name val="Symbol"/>
      <family val="1"/>
      <charset val="2"/>
    </font>
    <font>
      <sz val="7"/>
      <color theme="1"/>
      <name val="Times New Roman"/>
      <family val="1"/>
    </font>
    <font>
      <sz val="11"/>
      <color rgb="FF000000"/>
      <name val="Calibri"/>
      <family val="2"/>
    </font>
    <font>
      <b/>
      <sz val="9"/>
      <color rgb="FF000000"/>
      <name val="Arial"/>
      <family val="2"/>
    </font>
    <font>
      <sz val="10"/>
      <color theme="1"/>
      <name val="Calibri"/>
      <family val="2"/>
    </font>
    <font>
      <b/>
      <sz val="11"/>
      <color rgb="FF000000"/>
      <name val="Calibri"/>
      <family val="2"/>
      <scheme val="minor"/>
    </font>
    <font>
      <sz val="11"/>
      <color rgb="FF333333"/>
      <name val="Arial"/>
      <family val="2"/>
    </font>
    <font>
      <b/>
      <sz val="11"/>
      <name val="Arial"/>
      <family val="2"/>
    </font>
    <font>
      <sz val="11"/>
      <name val="Arial"/>
      <family val="2"/>
    </font>
    <font>
      <sz val="11"/>
      <color indexed="17"/>
      <name val="Arial"/>
      <family val="2"/>
    </font>
    <font>
      <sz val="11"/>
      <color indexed="12"/>
      <name val="Arial"/>
      <family val="2"/>
    </font>
    <font>
      <sz val="11"/>
      <color indexed="8"/>
      <name val="Calibri"/>
      <family val="2"/>
      <charset val="1"/>
    </font>
    <font>
      <b/>
      <sz val="12"/>
      <name val="Arial"/>
      <family val="2"/>
      <charset val="1"/>
    </font>
    <font>
      <sz val="12"/>
      <name val="Arial"/>
      <family val="2"/>
      <charset val="1"/>
    </font>
    <font>
      <sz val="12"/>
      <color indexed="8"/>
      <name val="Arial"/>
      <family val="2"/>
      <charset val="1"/>
    </font>
    <font>
      <sz val="12"/>
      <color indexed="17"/>
      <name val="Arial"/>
      <family val="2"/>
      <charset val="1"/>
    </font>
    <font>
      <sz val="12"/>
      <color theme="0"/>
      <name val="Arial"/>
      <family val="2"/>
    </font>
    <font>
      <sz val="12"/>
      <color theme="1"/>
      <name val="Times New Roman"/>
      <family val="1"/>
    </font>
    <font>
      <b/>
      <sz val="15"/>
      <color theme="3"/>
      <name val="Calibri"/>
      <family val="2"/>
      <scheme val="minor"/>
    </font>
    <font>
      <b/>
      <sz val="11"/>
      <color theme="0"/>
      <name val="Calibri"/>
      <family val="2"/>
      <scheme val="minor"/>
    </font>
    <font>
      <b/>
      <sz val="11"/>
      <name val="Times Bold Italic"/>
      <family val="1"/>
    </font>
    <font>
      <b/>
      <sz val="11"/>
      <name val="Calibri"/>
      <family val="2"/>
      <scheme val="minor"/>
    </font>
    <font>
      <sz val="11"/>
      <name val="Calibri"/>
      <family val="2"/>
      <scheme val="minor"/>
    </font>
    <font>
      <sz val="11"/>
      <color theme="1"/>
      <name val="Symbol"/>
      <family val="1"/>
      <charset val="2"/>
    </font>
    <font>
      <b/>
      <sz val="10"/>
      <name val="Calibri"/>
      <family val="2"/>
      <scheme val="minor"/>
    </font>
    <font>
      <sz val="10"/>
      <color rgb="FF000000"/>
      <name val="Calibri"/>
      <family val="2"/>
      <scheme val="minor"/>
    </font>
    <font>
      <sz val="10"/>
      <color indexed="8"/>
      <name val="Calibri"/>
      <family val="2"/>
      <scheme val="minor"/>
    </font>
    <font>
      <sz val="10"/>
      <color rgb="FFFF0000"/>
      <name val="Calibri"/>
      <family val="2"/>
      <scheme val="minor"/>
    </font>
    <font>
      <sz val="10"/>
      <color rgb="FF333333"/>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indexed="43"/>
        <bgColor indexed="64"/>
      </patternFill>
    </fill>
    <fill>
      <patternFill patternType="solid">
        <fgColor rgb="FFFFC000"/>
        <bgColor indexed="64"/>
      </patternFill>
    </fill>
    <fill>
      <patternFill patternType="solid">
        <fgColor rgb="FF87F992"/>
        <bgColor indexed="64"/>
      </patternFill>
    </fill>
    <fill>
      <patternFill patternType="solid">
        <fgColor rgb="FFC5D9F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99"/>
        <bgColor indexed="64"/>
      </patternFill>
    </fill>
    <fill>
      <patternFill patternType="solid">
        <fgColor indexed="47"/>
        <bgColor indexed="43"/>
      </patternFill>
    </fill>
    <fill>
      <patternFill patternType="solid">
        <fgColor theme="6" tint="0.79998168889431442"/>
        <bgColor indexed="43"/>
      </patternFill>
    </fill>
    <fill>
      <patternFill patternType="solid">
        <fgColor theme="1"/>
        <bgColor indexed="64"/>
      </patternFill>
    </fill>
    <fill>
      <patternFill patternType="solid">
        <fgColor rgb="FFA5A5A5"/>
      </patternFill>
    </fill>
    <fill>
      <patternFill patternType="solid">
        <fgColor rgb="FF92D050"/>
        <bgColor indexed="64"/>
      </patternFill>
    </fill>
    <fill>
      <patternFill patternType="solid">
        <fgColor rgb="FF00B050"/>
        <bgColor indexed="64"/>
      </patternFill>
    </fill>
    <fill>
      <patternFill patternType="solid">
        <fgColor theme="9" tint="-0.249977111117893"/>
        <bgColor indexed="64"/>
      </patternFill>
    </fill>
    <fill>
      <patternFill patternType="solid">
        <fgColor indexed="22"/>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double">
        <color indexed="64"/>
      </bottom>
      <diagonal/>
    </border>
    <border>
      <left style="medium">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double">
        <color rgb="FF3F3F3F"/>
      </left>
      <right/>
      <top style="double">
        <color rgb="FF3F3F3F"/>
      </top>
      <bottom style="double">
        <color rgb="FF3F3F3F"/>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3">
    <xf numFmtId="0" fontId="0" fillId="0" borderId="0"/>
    <xf numFmtId="4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4" fontId="25" fillId="0" borderId="0" applyFont="0" applyFill="0" applyBorder="0" applyAlignment="0" applyProtection="0"/>
    <xf numFmtId="171" fontId="25" fillId="0" borderId="0" applyFont="0" applyFill="0" applyBorder="0" applyAlignment="0" applyProtection="0"/>
    <xf numFmtId="176" fontId="1" fillId="0" borderId="0" applyFont="0" applyFill="0" applyBorder="0" applyAlignment="0" applyProtection="0"/>
    <xf numFmtId="0" fontId="7" fillId="0" borderId="0"/>
    <xf numFmtId="179" fontId="50" fillId="0" borderId="0"/>
    <xf numFmtId="0" fontId="50" fillId="0" borderId="0"/>
    <xf numFmtId="44" fontId="1" fillId="0" borderId="0" applyFont="0" applyFill="0" applyBorder="0" applyAlignment="0" applyProtection="0"/>
    <xf numFmtId="0" fontId="57" fillId="0" borderId="37" applyNumberFormat="0" applyFill="0" applyAlignment="0" applyProtection="0"/>
    <xf numFmtId="0" fontId="58" fillId="17" borderId="38" applyNumberFormat="0" applyAlignment="0" applyProtection="0"/>
  </cellStyleXfs>
  <cellXfs count="520">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44" fontId="3" fillId="0" borderId="1" xfId="1"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3" fontId="3" fillId="0" borderId="0" xfId="0" applyNumberFormat="1" applyFont="1" applyBorder="1" applyAlignment="1">
      <alignment horizontal="center" vertical="center" wrapText="1"/>
    </xf>
    <xf numFmtId="2" fontId="3" fillId="0" borderId="0" xfId="0" applyNumberFormat="1" applyFont="1" applyFill="1" applyBorder="1" applyAlignment="1">
      <alignment horizontal="right" vertical="center" wrapText="1"/>
    </xf>
    <xf numFmtId="0" fontId="0" fillId="0" borderId="0" xfId="0" applyAlignment="1">
      <alignment vertical="center" wrapText="1"/>
    </xf>
    <xf numFmtId="0" fontId="3" fillId="0" borderId="1" xfId="0" applyFont="1" applyFill="1" applyBorder="1" applyAlignment="1">
      <alignment horizontal="center" vertical="center" wrapText="1"/>
    </xf>
    <xf numFmtId="0" fontId="0" fillId="0" borderId="1" xfId="0" applyBorder="1"/>
    <xf numFmtId="0" fontId="0" fillId="0" borderId="1" xfId="0" applyBorder="1" applyAlignment="1">
      <alignment vertical="center"/>
    </xf>
    <xf numFmtId="0" fontId="0" fillId="0" borderId="1" xfId="0" applyBorder="1" applyAlignment="1">
      <alignment horizontal="left" wrapText="1"/>
    </xf>
    <xf numFmtId="0" fontId="0" fillId="0" borderId="1" xfId="0" applyBorder="1" applyAlignment="1">
      <alignment horizontal="left"/>
    </xf>
    <xf numFmtId="0" fontId="0" fillId="0" borderId="1" xfId="0" applyBorder="1" applyAlignment="1">
      <alignment vertical="center" wrapText="1"/>
    </xf>
    <xf numFmtId="1"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164" fontId="0" fillId="0" borderId="0" xfId="0" applyNumberFormat="1"/>
    <xf numFmtId="1" fontId="10" fillId="3"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0" fontId="11" fillId="0" borderId="0" xfId="0" applyFont="1" applyBorder="1"/>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2" fontId="12" fillId="0" borderId="1" xfId="0" applyNumberFormat="1" applyFont="1" applyFill="1" applyBorder="1" applyAlignment="1">
      <alignment horizontal="center" vertical="center" wrapText="1"/>
    </xf>
    <xf numFmtId="0" fontId="13" fillId="0" borderId="1" xfId="0" applyFont="1" applyBorder="1"/>
    <xf numFmtId="0" fontId="13" fillId="0" borderId="0" xfId="0" applyFont="1"/>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0" fillId="0" borderId="1" xfId="0" applyBorder="1" applyAlignment="1">
      <alignment horizontal="center" vertical="center"/>
    </xf>
    <xf numFmtId="0" fontId="16" fillId="0" borderId="0" xfId="0" applyFont="1" applyAlignment="1">
      <alignment horizontal="center"/>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165" fontId="17" fillId="0" borderId="1" xfId="0" applyNumberFormat="1" applyFont="1" applyFill="1" applyBorder="1" applyAlignment="1">
      <alignment horizontal="center" vertical="center" wrapText="1"/>
    </xf>
    <xf numFmtId="0" fontId="16" fillId="0" borderId="1" xfId="0" applyFont="1" applyBorder="1" applyAlignment="1">
      <alignment horizontal="center"/>
    </xf>
    <xf numFmtId="0" fontId="14" fillId="0" borderId="1" xfId="0" applyFont="1" applyBorder="1" applyAlignment="1">
      <alignment horizontal="center"/>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2" fontId="18" fillId="0" borderId="1" xfId="0" applyNumberFormat="1" applyFont="1" applyFill="1" applyBorder="1" applyAlignment="1">
      <alignment horizontal="center" vertical="center" wrapText="1"/>
    </xf>
    <xf numFmtId="0" fontId="19" fillId="0" borderId="1" xfId="0" applyFont="1" applyBorder="1" applyAlignment="1">
      <alignment horizontal="center"/>
    </xf>
    <xf numFmtId="0" fontId="0" fillId="0" borderId="1" xfId="0" applyBorder="1" applyAlignment="1">
      <alignment horizontal="center"/>
    </xf>
    <xf numFmtId="44" fontId="18" fillId="0" borderId="1" xfId="1" applyFont="1" applyBorder="1" applyAlignment="1">
      <alignment horizontal="center" vertical="center" wrapText="1"/>
    </xf>
    <xf numFmtId="0" fontId="19" fillId="0" borderId="1" xfId="0" applyFont="1" applyBorder="1"/>
    <xf numFmtId="0" fontId="5" fillId="0" borderId="5" xfId="0" applyFont="1" applyBorder="1" applyAlignment="1">
      <alignment wrapText="1"/>
    </xf>
    <xf numFmtId="0" fontId="5" fillId="0" borderId="6" xfId="0" applyFont="1" applyBorder="1" applyAlignment="1">
      <alignment wrapText="1"/>
    </xf>
    <xf numFmtId="0" fontId="5" fillId="0" borderId="7" xfId="0" applyFont="1" applyBorder="1" applyAlignment="1">
      <alignment wrapText="1"/>
    </xf>
    <xf numFmtId="0" fontId="0" fillId="0" borderId="0" xfId="0" applyAlignment="1">
      <alignment wrapText="1"/>
    </xf>
    <xf numFmtId="0" fontId="0" fillId="0" borderId="8" xfId="0" applyFont="1" applyBorder="1" applyAlignment="1">
      <alignment wrapText="1"/>
    </xf>
    <xf numFmtId="0" fontId="0" fillId="0" borderId="9" xfId="0" applyFont="1" applyBorder="1" applyAlignment="1">
      <alignment wrapText="1"/>
    </xf>
    <xf numFmtId="0" fontId="0" fillId="0" borderId="1" xfId="0" applyFont="1" applyBorder="1" applyAlignment="1">
      <alignment wrapText="1"/>
    </xf>
    <xf numFmtId="0" fontId="0" fillId="0" borderId="10" xfId="0" applyFont="1" applyBorder="1" applyAlignment="1">
      <alignment wrapText="1"/>
    </xf>
    <xf numFmtId="0" fontId="0" fillId="0" borderId="11" xfId="0" applyFont="1" applyBorder="1" applyAlignment="1">
      <alignment wrapText="1"/>
    </xf>
    <xf numFmtId="0" fontId="0" fillId="0" borderId="12" xfId="0" applyFont="1" applyBorder="1" applyAlignment="1">
      <alignment wrapText="1"/>
    </xf>
    <xf numFmtId="0" fontId="20" fillId="0" borderId="0" xfId="0" applyFont="1" applyAlignment="1">
      <alignment vertical="center" wrapText="1"/>
    </xf>
    <xf numFmtId="0" fontId="21" fillId="0" borderId="0" xfId="0" applyFont="1"/>
    <xf numFmtId="164" fontId="3" fillId="0" borderId="1" xfId="0" applyNumberFormat="1" applyFont="1" applyBorder="1" applyAlignment="1">
      <alignment horizontal="center" vertical="center" wrapText="1"/>
    </xf>
    <xf numFmtId="0" fontId="22" fillId="0" borderId="1" xfId="0" applyFont="1" applyBorder="1" applyAlignment="1">
      <alignment vertical="center"/>
    </xf>
    <xf numFmtId="0" fontId="22" fillId="0" borderId="1" xfId="0" applyFont="1" applyBorder="1" applyAlignment="1">
      <alignment horizontal="center" vertical="center" wrapText="1"/>
    </xf>
    <xf numFmtId="0" fontId="0" fillId="0" borderId="0" xfId="0" applyAlignment="1">
      <alignment horizontal="center"/>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167" fontId="0" fillId="0" borderId="1" xfId="3" applyNumberFormat="1" applyFont="1" applyBorder="1" applyAlignment="1">
      <alignment horizontal="center" vertical="center" wrapText="1"/>
    </xf>
    <xf numFmtId="167" fontId="0" fillId="0" borderId="1" xfId="0" applyNumberFormat="1" applyBorder="1" applyAlignment="1">
      <alignment horizontal="center" vertical="center" wrapText="1"/>
    </xf>
    <xf numFmtId="166" fontId="0" fillId="0" borderId="1" xfId="0" applyNumberFormat="1" applyBorder="1" applyAlignment="1">
      <alignment horizontal="center" vertical="center" wrapText="1"/>
    </xf>
    <xf numFmtId="168" fontId="18" fillId="0" borderId="0" xfId="0" applyNumberFormat="1" applyFont="1" applyFill="1"/>
    <xf numFmtId="169" fontId="3" fillId="0" borderId="1" xfId="1" applyNumberFormat="1" applyFont="1" applyBorder="1" applyAlignment="1">
      <alignment horizontal="center" vertical="center" wrapText="1"/>
    </xf>
    <xf numFmtId="0" fontId="15" fillId="0" borderId="0" xfId="0" applyFont="1"/>
    <xf numFmtId="1" fontId="2" fillId="3" borderId="2" xfId="0"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3" fontId="3" fillId="0" borderId="15"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170" fontId="3" fillId="0" borderId="2" xfId="0" applyNumberFormat="1" applyFont="1" applyFill="1" applyBorder="1" applyAlignment="1">
      <alignment horizontal="center" vertical="center" wrapText="1"/>
    </xf>
    <xf numFmtId="0" fontId="0" fillId="0" borderId="13" xfId="0" applyBorder="1"/>
    <xf numFmtId="0" fontId="3" fillId="0" borderId="4"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2" fontId="3"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 fontId="3" fillId="0" borderId="1" xfId="0" applyNumberFormat="1" applyFont="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0" fontId="24" fillId="0" borderId="1" xfId="0" applyFont="1" applyBorder="1" applyAlignment="1">
      <alignment horizontal="center"/>
    </xf>
    <xf numFmtId="44" fontId="3" fillId="0" borderId="1" xfId="4" applyFont="1" applyBorder="1" applyAlignment="1">
      <alignment horizontal="center" vertical="center" wrapText="1"/>
    </xf>
    <xf numFmtId="172" fontId="26" fillId="0" borderId="1" xfId="5" applyNumberFormat="1" applyFont="1" applyBorder="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27" fillId="0" borderId="18" xfId="0" applyFont="1" applyBorder="1" applyAlignment="1">
      <alignment horizontal="center" vertical="center" wrapText="1"/>
    </xf>
    <xf numFmtId="0" fontId="27" fillId="0" borderId="20" xfId="0" applyFont="1" applyBorder="1" applyAlignment="1">
      <alignment horizontal="center" vertical="center" wrapText="1"/>
    </xf>
    <xf numFmtId="0" fontId="28" fillId="0" borderId="21" xfId="0" applyFont="1" applyBorder="1" applyAlignment="1">
      <alignment horizontal="center" vertical="center" wrapText="1"/>
    </xf>
    <xf numFmtId="6" fontId="28" fillId="0" borderId="21" xfId="0" applyNumberFormat="1" applyFont="1" applyBorder="1" applyAlignment="1">
      <alignment horizontal="center" vertical="center" wrapText="1"/>
    </xf>
    <xf numFmtId="0" fontId="28" fillId="0" borderId="21" xfId="0" applyFont="1" applyBorder="1" applyAlignment="1">
      <alignment vertical="center" wrapText="1"/>
    </xf>
    <xf numFmtId="1" fontId="30" fillId="4" borderId="1" xfId="0" applyNumberFormat="1" applyFont="1" applyFill="1" applyBorder="1" applyAlignment="1">
      <alignment horizontal="center" vertical="center" wrapText="1"/>
    </xf>
    <xf numFmtId="0" fontId="30" fillId="4" borderId="1" xfId="0" applyNumberFormat="1" applyFont="1" applyFill="1" applyBorder="1" applyAlignment="1">
      <alignment horizontal="center" vertical="center" wrapText="1"/>
    </xf>
    <xf numFmtId="4" fontId="30"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2" fontId="7" fillId="0" borderId="1" xfId="0" applyNumberFormat="1" applyFont="1" applyFill="1" applyBorder="1" applyAlignment="1">
      <alignment horizontal="center" vertical="center" wrapText="1"/>
    </xf>
    <xf numFmtId="172" fontId="31" fillId="0" borderId="1" xfId="5" applyNumberFormat="1" applyFont="1" applyBorder="1" applyAlignment="1">
      <alignment vertical="center"/>
    </xf>
    <xf numFmtId="172" fontId="31" fillId="0" borderId="1" xfId="5" applyNumberFormat="1" applyFont="1" applyBorder="1" applyAlignment="1">
      <alignment vertical="center" wrapText="1"/>
    </xf>
    <xf numFmtId="43" fontId="7" fillId="0" borderId="1" xfId="2" applyNumberFormat="1" applyFont="1" applyFill="1" applyBorder="1" applyAlignment="1">
      <alignment horizontal="center" vertical="center" wrapText="1"/>
    </xf>
    <xf numFmtId="173" fontId="0" fillId="0" borderId="1" xfId="2" applyNumberFormat="1" applyFont="1" applyBorder="1" applyAlignment="1">
      <alignment wrapText="1"/>
    </xf>
    <xf numFmtId="0" fontId="0" fillId="2" borderId="1" xfId="0" applyFill="1" applyBorder="1"/>
    <xf numFmtId="0" fontId="5" fillId="0" borderId="0" xfId="0" applyFont="1"/>
    <xf numFmtId="168" fontId="3" fillId="0" borderId="1" xfId="0" applyNumberFormat="1" applyFont="1" applyBorder="1" applyAlignment="1">
      <alignment horizontal="center" vertical="center" wrapText="1"/>
    </xf>
    <xf numFmtId="17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0" fillId="0" borderId="1" xfId="0" applyBorder="1" applyAlignment="1">
      <alignment horizont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44" fontId="3" fillId="0" borderId="1" xfId="1" applyFont="1" applyBorder="1" applyAlignment="1">
      <alignment horizontal="center" vertical="center" wrapText="1"/>
    </xf>
    <xf numFmtId="0" fontId="0" fillId="0" borderId="1" xfId="0" applyBorder="1"/>
    <xf numFmtId="1"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3" fontId="22" fillId="0" borderId="1" xfId="0" applyNumberFormat="1" applyFont="1" applyBorder="1"/>
    <xf numFmtId="0" fontId="14" fillId="0" borderId="1" xfId="0" applyFont="1" applyBorder="1" applyAlignment="1">
      <alignment wrapText="1"/>
    </xf>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44" fontId="3" fillId="0" borderId="1" xfId="1"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3" fontId="3" fillId="0" borderId="0" xfId="0" applyNumberFormat="1" applyFont="1" applyBorder="1" applyAlignment="1">
      <alignment horizontal="center" vertical="center" wrapText="1"/>
    </xf>
    <xf numFmtId="2" fontId="3" fillId="0" borderId="0" xfId="0" applyNumberFormat="1" applyFont="1" applyFill="1" applyBorder="1" applyAlignment="1">
      <alignment horizontal="right" vertical="center" wrapText="1"/>
    </xf>
    <xf numFmtId="0" fontId="0" fillId="0" borderId="0" xfId="0" applyAlignment="1">
      <alignment vertical="center" wrapText="1"/>
    </xf>
    <xf numFmtId="0" fontId="0" fillId="0" borderId="1" xfId="0" applyBorder="1"/>
    <xf numFmtId="1"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14" fillId="0" borderId="1" xfId="0" applyFont="1" applyBorder="1"/>
    <xf numFmtId="0" fontId="32" fillId="0" borderId="0" xfId="0" applyFont="1" applyAlignment="1">
      <alignment vertical="center"/>
    </xf>
    <xf numFmtId="0" fontId="33" fillId="0" borderId="0" xfId="0" applyFont="1" applyAlignment="1">
      <alignment vertical="center" wrapText="1"/>
    </xf>
    <xf numFmtId="17" fontId="0" fillId="0" borderId="0" xfId="0" applyNumberFormat="1"/>
    <xf numFmtId="3" fontId="0" fillId="0" borderId="0" xfId="0" applyNumberFormat="1"/>
    <xf numFmtId="0" fontId="0" fillId="0" borderId="18" xfId="0" applyBorder="1" applyAlignment="1">
      <alignment vertical="center" wrapText="1"/>
    </xf>
    <xf numFmtId="0" fontId="34" fillId="0" borderId="18" xfId="0" applyFont="1" applyBorder="1" applyAlignment="1">
      <alignment vertical="center" wrapText="1"/>
    </xf>
    <xf numFmtId="0" fontId="0" fillId="0" borderId="24" xfId="0" applyBorder="1" applyAlignment="1">
      <alignment vertical="center" wrapText="1"/>
    </xf>
    <xf numFmtId="0" fontId="34" fillId="0" borderId="24" xfId="0" applyFont="1" applyBorder="1" applyAlignment="1">
      <alignment vertical="center" wrapText="1"/>
    </xf>
    <xf numFmtId="0" fontId="0" fillId="0" borderId="25" xfId="0" applyBorder="1"/>
    <xf numFmtId="0" fontId="0" fillId="0" borderId="21" xfId="0" applyBorder="1"/>
    <xf numFmtId="0" fontId="34" fillId="0" borderId="26" xfId="0" applyFont="1" applyBorder="1" applyAlignment="1">
      <alignment vertical="center" wrapText="1"/>
    </xf>
    <xf numFmtId="0" fontId="0" fillId="0" borderId="26" xfId="0" applyBorder="1" applyAlignment="1">
      <alignment vertical="top" wrapText="1"/>
    </xf>
    <xf numFmtId="0" fontId="0" fillId="0" borderId="24" xfId="0" applyBorder="1" applyAlignment="1">
      <alignment vertical="top" wrapText="1"/>
    </xf>
    <xf numFmtId="0" fontId="36" fillId="0" borderId="25" xfId="0" applyFont="1" applyBorder="1" applyAlignment="1">
      <alignment horizontal="center" vertical="center"/>
    </xf>
    <xf numFmtId="0" fontId="36" fillId="0" borderId="0" xfId="0" applyFont="1" applyAlignment="1">
      <alignment horizontal="center" vertical="center"/>
    </xf>
    <xf numFmtId="3" fontId="36" fillId="0" borderId="0" xfId="0" applyNumberFormat="1" applyFont="1" applyAlignment="1">
      <alignment horizontal="center" vertical="center"/>
    </xf>
    <xf numFmtId="0" fontId="0" fillId="0" borderId="27" xfId="0" applyBorder="1"/>
    <xf numFmtId="6" fontId="38" fillId="0" borderId="21" xfId="0" applyNumberFormat="1" applyFont="1" applyBorder="1" applyAlignment="1">
      <alignment horizontal="right" vertical="center"/>
    </xf>
    <xf numFmtId="6" fontId="37" fillId="0" borderId="21" xfId="0" applyNumberFormat="1" applyFont="1" applyBorder="1" applyAlignment="1">
      <alignment horizontal="right" vertical="center"/>
    </xf>
    <xf numFmtId="0" fontId="36" fillId="0" borderId="21" xfId="0" applyFont="1" applyBorder="1" applyAlignment="1">
      <alignment horizontal="center" vertical="center"/>
    </xf>
    <xf numFmtId="0" fontId="37" fillId="0" borderId="21" xfId="0" applyFont="1" applyBorder="1" applyAlignment="1">
      <alignment horizontal="center" vertical="center"/>
    </xf>
    <xf numFmtId="0" fontId="38" fillId="0" borderId="21" xfId="0" applyFont="1" applyBorder="1" applyAlignment="1">
      <alignment horizontal="center" vertical="center"/>
    </xf>
    <xf numFmtId="0" fontId="36" fillId="0" borderId="21" xfId="0" applyFont="1" applyBorder="1" applyAlignment="1">
      <alignment horizontal="center" vertical="center" wrapText="1"/>
    </xf>
    <xf numFmtId="3" fontId="36" fillId="0" borderId="21" xfId="0" applyNumberFormat="1" applyFont="1" applyBorder="1" applyAlignment="1">
      <alignment horizontal="right" vertical="center"/>
    </xf>
    <xf numFmtId="0" fontId="36" fillId="0" borderId="27" xfId="0" applyFont="1" applyBorder="1" applyAlignment="1">
      <alignment horizontal="center" vertical="center" wrapText="1"/>
    </xf>
    <xf numFmtId="0" fontId="34" fillId="0" borderId="0" xfId="0" applyFont="1" applyAlignment="1">
      <alignment horizontal="center" vertical="center"/>
    </xf>
    <xf numFmtId="0" fontId="0" fillId="0" borderId="20" xfId="0" applyBorder="1" applyAlignment="1">
      <alignment vertical="center" wrapText="1"/>
    </xf>
    <xf numFmtId="0" fontId="0" fillId="0" borderId="21" xfId="0" applyBorder="1" applyAlignment="1">
      <alignment vertical="center" wrapText="1"/>
    </xf>
    <xf numFmtId="175" fontId="7" fillId="0" borderId="1" xfId="2" applyNumberFormat="1" applyFont="1" applyFill="1" applyBorder="1" applyAlignment="1">
      <alignment horizontal="center" vertical="center" wrapText="1"/>
    </xf>
    <xf numFmtId="3" fontId="0" fillId="0" borderId="1" xfId="0" applyNumberFormat="1" applyBorder="1"/>
    <xf numFmtId="6" fontId="0" fillId="0" borderId="1" xfId="0" applyNumberFormat="1" applyBorder="1"/>
    <xf numFmtId="3" fontId="0" fillId="0" borderId="21" xfId="0" applyNumberFormat="1" applyBorder="1" applyAlignment="1">
      <alignment vertical="center" wrapText="1"/>
    </xf>
    <xf numFmtId="6" fontId="0" fillId="0" borderId="21" xfId="0" applyNumberFormat="1" applyBorder="1" applyAlignment="1">
      <alignment vertical="center" wrapText="1"/>
    </xf>
    <xf numFmtId="0" fontId="0" fillId="0" borderId="6" xfId="0" applyBorder="1" applyAlignment="1">
      <alignment horizontal="center"/>
    </xf>
    <xf numFmtId="0" fontId="5" fillId="5" borderId="19" xfId="0" applyFont="1" applyFill="1" applyBorder="1" applyAlignment="1">
      <alignment horizontal="center"/>
    </xf>
    <xf numFmtId="0" fontId="5" fillId="5" borderId="26" xfId="0" applyFont="1" applyFill="1" applyBorder="1" applyAlignment="1">
      <alignment horizontal="center"/>
    </xf>
    <xf numFmtId="0" fontId="5" fillId="5" borderId="24" xfId="0" applyFont="1" applyFill="1" applyBorder="1" applyAlignment="1">
      <alignment horizontal="center"/>
    </xf>
    <xf numFmtId="0" fontId="5" fillId="5" borderId="26" xfId="0" applyFont="1" applyFill="1" applyBorder="1" applyAlignment="1">
      <alignment horizontal="center" wrapText="1"/>
    </xf>
    <xf numFmtId="0" fontId="41" fillId="0" borderId="24" xfId="0" applyFont="1" applyBorder="1" applyAlignment="1">
      <alignment vertical="center"/>
    </xf>
    <xf numFmtId="0" fontId="41" fillId="0" borderId="21" xfId="0" applyFont="1" applyBorder="1" applyAlignment="1">
      <alignment vertical="center"/>
    </xf>
    <xf numFmtId="0" fontId="41" fillId="0" borderId="21" xfId="0" applyFont="1" applyBorder="1" applyAlignment="1">
      <alignment horizontal="right" vertical="center"/>
    </xf>
    <xf numFmtId="0" fontId="42" fillId="6" borderId="18"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3" fillId="0" borderId="24" xfId="0" applyFont="1" applyBorder="1" applyAlignment="1">
      <alignment horizontal="center" vertical="center" wrapText="1"/>
    </xf>
    <xf numFmtId="0" fontId="43" fillId="0" borderId="21" xfId="0" applyFont="1" applyBorder="1" applyAlignment="1">
      <alignment horizontal="center" vertical="center" wrapText="1"/>
    </xf>
    <xf numFmtId="3" fontId="12" fillId="0" borderId="1" xfId="0" applyNumberFormat="1" applyFont="1" applyFill="1" applyBorder="1" applyAlignment="1">
      <alignment horizontal="center" vertical="center" wrapText="1"/>
    </xf>
    <xf numFmtId="0" fontId="13" fillId="0" borderId="1" xfId="0" applyFont="1" applyFill="1" applyBorder="1"/>
    <xf numFmtId="3" fontId="7"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44" fontId="3" fillId="0" borderId="1" xfId="1"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3" fontId="3" fillId="0" borderId="0" xfId="0" applyNumberFormat="1" applyFont="1" applyBorder="1" applyAlignment="1">
      <alignment horizontal="center" vertical="center" wrapText="1"/>
    </xf>
    <xf numFmtId="2" fontId="3" fillId="0" borderId="0" xfId="0" applyNumberFormat="1" applyFont="1" applyFill="1" applyBorder="1" applyAlignment="1">
      <alignment horizontal="right" vertical="center" wrapText="1"/>
    </xf>
    <xf numFmtId="0" fontId="0" fillId="0" borderId="0" xfId="0" applyAlignment="1">
      <alignment vertical="center" wrapText="1"/>
    </xf>
    <xf numFmtId="0" fontId="0" fillId="0" borderId="1" xfId="0" applyBorder="1"/>
    <xf numFmtId="1"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44" fillId="7" borderId="18" xfId="0" applyFont="1" applyFill="1" applyBorder="1"/>
    <xf numFmtId="0" fontId="44" fillId="7" borderId="20" xfId="0" applyFont="1" applyFill="1" applyBorder="1" applyAlignment="1">
      <alignment horizontal="center" wrapText="1"/>
    </xf>
    <xf numFmtId="0" fontId="44" fillId="7" borderId="21" xfId="0" applyFont="1" applyFill="1" applyBorder="1" applyAlignment="1">
      <alignment horizontal="center" wrapText="1"/>
    </xf>
    <xf numFmtId="0" fontId="36" fillId="0" borderId="24" xfId="0" applyFont="1" applyBorder="1"/>
    <xf numFmtId="0" fontId="36" fillId="0" borderId="21" xfId="0" applyFont="1" applyBorder="1"/>
    <xf numFmtId="0" fontId="36" fillId="0" borderId="21" xfId="0" applyFont="1" applyBorder="1" applyAlignment="1">
      <alignment horizontal="right"/>
    </xf>
    <xf numFmtId="0" fontId="44" fillId="0" borderId="0" xfId="0" applyFont="1"/>
    <xf numFmtId="0" fontId="44" fillId="0" borderId="34" xfId="0" applyFont="1" applyBorder="1"/>
    <xf numFmtId="3"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8" fillId="0" borderId="22" xfId="0" applyFont="1" applyBorder="1" applyAlignment="1">
      <alignment vertical="center" wrapText="1"/>
    </xf>
    <xf numFmtId="0" fontId="35" fillId="0" borderId="31" xfId="0" applyFont="1" applyBorder="1" applyAlignment="1">
      <alignment vertical="center" wrapText="1"/>
    </xf>
    <xf numFmtId="0" fontId="35" fillId="0" borderId="28" xfId="0" applyFont="1" applyBorder="1" applyAlignment="1">
      <alignment vertical="center" wrapText="1"/>
    </xf>
    <xf numFmtId="173" fontId="41" fillId="0" borderId="21" xfId="2" applyNumberFormat="1" applyFont="1" applyFill="1" applyBorder="1" applyAlignment="1">
      <alignment horizontal="right" vertical="center"/>
    </xf>
    <xf numFmtId="3" fontId="3" fillId="8" borderId="1" xfId="0" applyNumberFormat="1" applyFont="1" applyFill="1" applyBorder="1" applyAlignment="1">
      <alignment horizontal="center" vertical="center" wrapText="1"/>
    </xf>
    <xf numFmtId="6" fontId="0" fillId="8" borderId="0" xfId="0" applyNumberFormat="1" applyFill="1"/>
    <xf numFmtId="3" fontId="0" fillId="8" borderId="0" xfId="0" applyNumberFormat="1" applyFill="1"/>
    <xf numFmtId="0" fontId="36" fillId="8" borderId="21" xfId="0" applyFont="1" applyFill="1" applyBorder="1" applyAlignment="1">
      <alignment horizontal="center" vertical="center"/>
    </xf>
    <xf numFmtId="3" fontId="36" fillId="8" borderId="21" xfId="0" applyNumberFormat="1" applyFont="1" applyFill="1" applyBorder="1" applyAlignment="1">
      <alignment horizontal="right" vertical="center"/>
    </xf>
    <xf numFmtId="0" fontId="36" fillId="8" borderId="21" xfId="0" applyFont="1" applyFill="1" applyBorder="1" applyAlignment="1">
      <alignment horizontal="center" vertical="center" wrapText="1"/>
    </xf>
    <xf numFmtId="0" fontId="38" fillId="8" borderId="21" xfId="0" applyFont="1" applyFill="1" applyBorder="1" applyAlignment="1">
      <alignment horizontal="center" vertical="center"/>
    </xf>
    <xf numFmtId="0" fontId="36" fillId="8" borderId="25" xfId="0" applyFont="1" applyFill="1" applyBorder="1" applyAlignment="1">
      <alignment horizontal="center" vertical="center"/>
    </xf>
    <xf numFmtId="3" fontId="36" fillId="8" borderId="25" xfId="0" applyNumberFormat="1" applyFont="1" applyFill="1" applyBorder="1" applyAlignment="1">
      <alignment horizontal="center" vertical="center"/>
    </xf>
    <xf numFmtId="3" fontId="3" fillId="8" borderId="0" xfId="0" applyNumberFormat="1" applyFont="1" applyFill="1" applyBorder="1" applyAlignment="1">
      <alignment horizontal="center" vertical="center" wrapText="1"/>
    </xf>
    <xf numFmtId="3" fontId="18" fillId="8" borderId="1" xfId="0" applyNumberFormat="1" applyFont="1" applyFill="1" applyBorder="1" applyAlignment="1">
      <alignment horizontal="center" vertical="center" wrapText="1"/>
    </xf>
    <xf numFmtId="1" fontId="30" fillId="3" borderId="1" xfId="0" applyNumberFormat="1" applyFont="1" applyFill="1" applyBorder="1" applyAlignment="1">
      <alignment horizontal="center" vertical="center" wrapText="1"/>
    </xf>
    <xf numFmtId="0" fontId="30" fillId="3" borderId="1" xfId="0" applyNumberFormat="1" applyFont="1" applyFill="1" applyBorder="1" applyAlignment="1">
      <alignment horizontal="center" vertical="center" wrapText="1"/>
    </xf>
    <xf numFmtId="4" fontId="30" fillId="3" borderId="1" xfId="0" applyNumberFormat="1" applyFont="1" applyFill="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xf>
    <xf numFmtId="0" fontId="0" fillId="0" borderId="6" xfId="0" applyFill="1" applyBorder="1" applyAlignment="1">
      <alignment vertical="center"/>
    </xf>
    <xf numFmtId="3" fontId="0" fillId="0" borderId="6" xfId="0" applyNumberFormat="1" applyBorder="1" applyAlignment="1">
      <alignment vertical="center"/>
    </xf>
    <xf numFmtId="177" fontId="0" fillId="0" borderId="6" xfId="6" applyNumberFormat="1" applyFont="1" applyBorder="1" applyAlignment="1">
      <alignment vertical="center"/>
    </xf>
    <xf numFmtId="2" fontId="0" fillId="0" borderId="6" xfId="0" applyNumberFormat="1" applyBorder="1" applyAlignment="1">
      <alignment vertical="center"/>
    </xf>
    <xf numFmtId="0" fontId="0" fillId="0" borderId="7" xfId="0" applyBorder="1" applyAlignment="1">
      <alignment vertical="center" wrapText="1"/>
    </xf>
    <xf numFmtId="2" fontId="0" fillId="0" borderId="0" xfId="0" applyNumberFormat="1" applyAlignment="1">
      <alignment vertical="center"/>
    </xf>
    <xf numFmtId="173" fontId="0" fillId="0" borderId="0" xfId="0" applyNumberFormat="1"/>
    <xf numFmtId="43" fontId="0" fillId="0" borderId="0" xfId="0" applyNumberFormat="1"/>
    <xf numFmtId="2" fontId="0" fillId="0" borderId="0" xfId="0" applyNumberFormat="1"/>
    <xf numFmtId="0" fontId="14" fillId="0" borderId="0" xfId="0" applyFont="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0" fontId="14" fillId="0" borderId="0" xfId="0" applyFont="1" applyAlignment="1">
      <alignment vertical="center" wrapText="1"/>
    </xf>
    <xf numFmtId="1" fontId="46" fillId="12" borderId="1" xfId="0" applyNumberFormat="1" applyFont="1" applyFill="1" applyBorder="1" applyAlignment="1">
      <alignment horizontal="center" vertical="center" wrapText="1"/>
    </xf>
    <xf numFmtId="0" fontId="46" fillId="12" borderId="1" xfId="0" applyNumberFormat="1" applyFont="1" applyFill="1" applyBorder="1" applyAlignment="1">
      <alignment horizontal="center" vertical="center" wrapText="1"/>
    </xf>
    <xf numFmtId="4" fontId="46" fillId="12" borderId="1" xfId="0" applyNumberFormat="1" applyFont="1" applyFill="1" applyBorder="1" applyAlignment="1">
      <alignment horizontal="center" vertical="center" wrapText="1"/>
    </xf>
    <xf numFmtId="0" fontId="47" fillId="10" borderId="1" xfId="0" applyFont="1" applyFill="1" applyBorder="1" applyAlignment="1">
      <alignment horizontal="center" vertical="center" wrapText="1"/>
    </xf>
    <xf numFmtId="0" fontId="47" fillId="0" borderId="1" xfId="0" applyFont="1" applyBorder="1" applyAlignment="1">
      <alignment horizontal="center" vertical="center" wrapText="1"/>
    </xf>
    <xf numFmtId="2" fontId="47" fillId="0" borderId="1" xfId="0" applyNumberFormat="1" applyFont="1" applyFill="1" applyBorder="1" applyAlignment="1">
      <alignment horizontal="center" vertical="center" wrapText="1"/>
    </xf>
    <xf numFmtId="0" fontId="47" fillId="9" borderId="1" xfId="0" applyFont="1" applyFill="1" applyBorder="1" applyAlignment="1">
      <alignment horizontal="center" vertical="center" wrapText="1"/>
    </xf>
    <xf numFmtId="0" fontId="47" fillId="11" borderId="1" xfId="0" applyFont="1" applyFill="1" applyBorder="1" applyAlignment="1">
      <alignment horizontal="center" vertical="center" wrapText="1"/>
    </xf>
    <xf numFmtId="49" fontId="47" fillId="0" borderId="1" xfId="1" applyNumberFormat="1" applyFont="1" applyBorder="1" applyAlignment="1">
      <alignment horizontal="center" vertical="center" wrapText="1"/>
    </xf>
    <xf numFmtId="49" fontId="47" fillId="0" borderId="1" xfId="0" applyNumberFormat="1" applyFont="1" applyBorder="1" applyAlignment="1">
      <alignment horizontal="center" vertical="center" wrapText="1"/>
    </xf>
    <xf numFmtId="0" fontId="47" fillId="0" borderId="0" xfId="0" applyFont="1" applyBorder="1" applyAlignment="1">
      <alignment horizontal="center" vertical="center" wrapText="1"/>
    </xf>
    <xf numFmtId="44" fontId="47" fillId="0" borderId="0" xfId="1" applyFont="1" applyBorder="1" applyAlignment="1">
      <alignment horizontal="center" vertical="center" wrapText="1"/>
    </xf>
    <xf numFmtId="0" fontId="48" fillId="0" borderId="0" xfId="0" applyFont="1" applyBorder="1" applyAlignment="1">
      <alignment horizontal="center" vertical="center" wrapText="1"/>
    </xf>
    <xf numFmtId="3" fontId="47" fillId="0" borderId="0" xfId="0" applyNumberFormat="1" applyFont="1" applyBorder="1" applyAlignment="1">
      <alignment horizontal="center" vertical="center" wrapText="1"/>
    </xf>
    <xf numFmtId="2" fontId="47" fillId="0" borderId="0" xfId="0" applyNumberFormat="1" applyFont="1" applyFill="1" applyBorder="1" applyAlignment="1">
      <alignment horizontal="right" vertical="center" wrapText="1"/>
    </xf>
    <xf numFmtId="0" fontId="47" fillId="12" borderId="1" xfId="0" applyFont="1" applyFill="1" applyBorder="1" applyAlignment="1">
      <alignment horizontal="center" vertical="center" wrapText="1"/>
    </xf>
    <xf numFmtId="0" fontId="49" fillId="12" borderId="1" xfId="0" applyFont="1" applyFill="1" applyBorder="1" applyAlignment="1">
      <alignment horizontal="center" vertical="center" wrapText="1"/>
    </xf>
    <xf numFmtId="0" fontId="47" fillId="12" borderId="1" xfId="0" applyFont="1" applyFill="1" applyBorder="1" applyAlignment="1">
      <alignment horizontal="left" vertical="center" wrapText="1"/>
    </xf>
    <xf numFmtId="0" fontId="47" fillId="0" borderId="1" xfId="0" applyFont="1" applyFill="1" applyBorder="1" applyAlignment="1">
      <alignment horizontal="center" vertical="center" wrapText="1"/>
    </xf>
    <xf numFmtId="0" fontId="47" fillId="0" borderId="1" xfId="0" applyFont="1" applyBorder="1" applyAlignment="1">
      <alignment vertical="center" wrapText="1"/>
    </xf>
    <xf numFmtId="10" fontId="47" fillId="0" borderId="1" xfId="0" applyNumberFormat="1" applyFont="1" applyBorder="1" applyAlignment="1">
      <alignment horizontal="center" vertical="center" wrapText="1"/>
    </xf>
    <xf numFmtId="3" fontId="47" fillId="0" borderId="1" xfId="0" applyNumberFormat="1" applyFont="1" applyBorder="1" applyAlignment="1">
      <alignment vertical="center" wrapText="1"/>
    </xf>
    <xf numFmtId="2" fontId="47" fillId="0" borderId="1" xfId="0" applyNumberFormat="1" applyFont="1" applyFill="1" applyBorder="1" applyAlignment="1">
      <alignment horizontal="right" vertical="center" wrapText="1"/>
    </xf>
    <xf numFmtId="0" fontId="46" fillId="12" borderId="1" xfId="0" applyFont="1" applyFill="1" applyBorder="1" applyAlignment="1">
      <alignment horizontal="center" vertical="center" wrapText="1"/>
    </xf>
    <xf numFmtId="0" fontId="46" fillId="0" borderId="1" xfId="0" applyFont="1" applyBorder="1" applyAlignment="1">
      <alignment vertical="center" wrapText="1"/>
    </xf>
    <xf numFmtId="10" fontId="46" fillId="0" borderId="1" xfId="0" applyNumberFormat="1" applyFont="1" applyBorder="1" applyAlignment="1">
      <alignment vertical="center" wrapText="1"/>
    </xf>
    <xf numFmtId="3" fontId="46" fillId="0" borderId="1" xfId="0" applyNumberFormat="1" applyFont="1" applyBorder="1" applyAlignment="1">
      <alignment horizontal="center" vertical="center" wrapText="1"/>
    </xf>
    <xf numFmtId="3" fontId="46" fillId="0" borderId="1" xfId="0" applyNumberFormat="1" applyFont="1" applyBorder="1" applyAlignment="1">
      <alignment vertical="center" wrapText="1"/>
    </xf>
    <xf numFmtId="2" fontId="46" fillId="0" borderId="1" xfId="0" applyNumberFormat="1" applyFont="1" applyFill="1" applyBorder="1" applyAlignment="1">
      <alignment horizontal="right" vertical="center" wrapText="1"/>
    </xf>
    <xf numFmtId="3" fontId="35" fillId="8" borderId="35" xfId="0" applyNumberFormat="1" applyFont="1" applyFill="1" applyBorder="1" applyAlignment="1">
      <alignment vertical="center" wrapText="1"/>
    </xf>
    <xf numFmtId="3" fontId="7" fillId="0" borderId="4" xfId="0" applyNumberFormat="1" applyFont="1" applyBorder="1" applyAlignment="1">
      <alignment vertical="center" wrapText="1"/>
    </xf>
    <xf numFmtId="164" fontId="7" fillId="0" borderId="4" xfId="0" applyNumberFormat="1" applyFont="1" applyBorder="1" applyAlignment="1">
      <alignment vertical="center" wrapText="1"/>
    </xf>
    <xf numFmtId="2" fontId="7" fillId="0" borderId="4" xfId="0" applyNumberFormat="1" applyFont="1" applyFill="1" applyBorder="1" applyAlignment="1">
      <alignment vertical="center" wrapText="1"/>
    </xf>
    <xf numFmtId="3" fontId="7" fillId="0" borderId="1" xfId="0" applyNumberFormat="1" applyFont="1" applyBorder="1" applyAlignment="1">
      <alignment vertical="center" wrapText="1"/>
    </xf>
    <xf numFmtId="164" fontId="7" fillId="0" borderId="1" xfId="0" applyNumberFormat="1" applyFont="1" applyBorder="1" applyAlignment="1">
      <alignment vertical="center" wrapText="1"/>
    </xf>
    <xf numFmtId="2" fontId="7" fillId="0" borderId="1" xfId="0" applyNumberFormat="1" applyFont="1" applyFill="1" applyBorder="1" applyAlignment="1">
      <alignment vertical="center" wrapText="1"/>
    </xf>
    <xf numFmtId="3" fontId="28" fillId="0" borderId="19" xfId="0" applyNumberFormat="1" applyFont="1" applyBorder="1" applyAlignment="1">
      <alignment vertical="center" wrapText="1"/>
    </xf>
    <xf numFmtId="3" fontId="3" fillId="0" borderId="2" xfId="0" applyNumberFormat="1" applyFont="1" applyBorder="1" applyAlignment="1">
      <alignment vertical="center" wrapText="1"/>
    </xf>
    <xf numFmtId="3" fontId="3" fillId="0" borderId="4" xfId="0" applyNumberFormat="1" applyFont="1" applyBorder="1" applyAlignment="1">
      <alignment vertical="center" wrapText="1"/>
    </xf>
    <xf numFmtId="0" fontId="47" fillId="13" borderId="1" xfId="0" applyFont="1" applyFill="1" applyBorder="1" applyAlignment="1">
      <alignment horizontal="center" vertical="center" wrapText="1"/>
    </xf>
    <xf numFmtId="3" fontId="47" fillId="0" borderId="1" xfId="0" applyNumberFormat="1" applyFont="1" applyFill="1" applyBorder="1" applyAlignment="1">
      <alignment horizontal="center" vertical="center" wrapText="1"/>
    </xf>
    <xf numFmtId="3" fontId="47" fillId="0" borderId="1" xfId="0" applyNumberFormat="1" applyFont="1" applyBorder="1" applyAlignment="1">
      <alignment horizontal="center" vertical="center" wrapText="1"/>
    </xf>
    <xf numFmtId="173" fontId="0" fillId="0" borderId="0" xfId="2" applyNumberFormat="1" applyFont="1"/>
    <xf numFmtId="2" fontId="3" fillId="0" borderId="4" xfId="0" applyNumberFormat="1" applyFont="1" applyFill="1" applyBorder="1" applyAlignment="1">
      <alignment vertical="center" wrapText="1"/>
    </xf>
    <xf numFmtId="3" fontId="14" fillId="0" borderId="1" xfId="0" applyNumberFormat="1" applyFont="1" applyBorder="1" applyAlignment="1">
      <alignment vertical="center"/>
    </xf>
    <xf numFmtId="2" fontId="0" fillId="0" borderId="1" xfId="0" applyNumberFormat="1" applyBorder="1" applyAlignment="1">
      <alignment vertical="center"/>
    </xf>
    <xf numFmtId="0" fontId="45" fillId="0" borderId="1" xfId="0" applyFont="1" applyBorder="1" applyAlignment="1">
      <alignment vertical="center"/>
    </xf>
    <xf numFmtId="173" fontId="3" fillId="0" borderId="1" xfId="2" applyNumberFormat="1" applyFont="1" applyBorder="1" applyAlignment="1">
      <alignment horizontal="center" vertical="center" wrapText="1"/>
    </xf>
    <xf numFmtId="0" fontId="0" fillId="0" borderId="5" xfId="0" applyBorder="1" applyAlignment="1">
      <alignment horizontal="center" wrapText="1"/>
    </xf>
    <xf numFmtId="3" fontId="0" fillId="0" borderId="6" xfId="0" applyNumberFormat="1" applyBorder="1" applyAlignment="1">
      <alignment horizontal="center"/>
    </xf>
    <xf numFmtId="3" fontId="36" fillId="0" borderId="0" xfId="0" applyNumberFormat="1" applyFont="1"/>
    <xf numFmtId="0" fontId="0" fillId="0" borderId="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3" fontId="0" fillId="0" borderId="1" xfId="0" applyNumberFormat="1" applyBorder="1" applyAlignment="1">
      <alignment horizontal="center"/>
    </xf>
    <xf numFmtId="3" fontId="0" fillId="8" borderId="1" xfId="0" applyNumberFormat="1" applyFill="1" applyBorder="1" applyAlignment="1">
      <alignment horizontal="center"/>
    </xf>
    <xf numFmtId="2" fontId="0" fillId="0" borderId="6" xfId="0" applyNumberFormat="1" applyBorder="1" applyAlignment="1">
      <alignment horizontal="center"/>
    </xf>
    <xf numFmtId="0" fontId="0" fillId="0" borderId="0" xfId="0"/>
    <xf numFmtId="0" fontId="3" fillId="0" borderId="1" xfId="0" applyFont="1" applyBorder="1" applyAlignment="1">
      <alignment horizontal="center" vertical="center" wrapText="1"/>
    </xf>
    <xf numFmtId="1"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173" fontId="3" fillId="0" borderId="1" xfId="2" applyNumberFormat="1" applyFont="1" applyBorder="1" applyAlignment="1">
      <alignment horizontal="center" vertical="center" wrapText="1"/>
    </xf>
    <xf numFmtId="178" fontId="3" fillId="0" borderId="1" xfId="1" applyNumberFormat="1" applyFont="1" applyBorder="1" applyAlignment="1">
      <alignment horizontal="center" vertical="center" wrapText="1"/>
    </xf>
    <xf numFmtId="0" fontId="7" fillId="0" borderId="0" xfId="7"/>
    <xf numFmtId="0" fontId="50" fillId="0" borderId="0" xfId="9"/>
    <xf numFmtId="1" fontId="51" fillId="14" borderId="36" xfId="9" applyNumberFormat="1" applyFont="1" applyFill="1" applyBorder="1" applyAlignment="1">
      <alignment horizontal="center" vertical="center" wrapText="1"/>
    </xf>
    <xf numFmtId="0" fontId="51" fillId="14" borderId="36" xfId="9" applyNumberFormat="1" applyFont="1" applyFill="1" applyBorder="1" applyAlignment="1">
      <alignment horizontal="center" vertical="center" wrapText="1"/>
    </xf>
    <xf numFmtId="4" fontId="51" fillId="14" borderId="36" xfId="9" applyNumberFormat="1" applyFont="1" applyFill="1" applyBorder="1" applyAlignment="1">
      <alignment horizontal="center" vertical="center" wrapText="1"/>
    </xf>
    <xf numFmtId="0" fontId="51" fillId="0" borderId="36" xfId="9" applyFont="1" applyBorder="1" applyAlignment="1">
      <alignment horizontal="center" vertical="center" wrapText="1"/>
    </xf>
    <xf numFmtId="0" fontId="52" fillId="0" borderId="36" xfId="9" applyFont="1" applyBorder="1" applyAlignment="1">
      <alignment horizontal="center" vertical="center" wrapText="1"/>
    </xf>
    <xf numFmtId="3" fontId="52" fillId="0" borderId="36" xfId="9" applyNumberFormat="1" applyFont="1" applyBorder="1" applyAlignment="1">
      <alignment horizontal="center" vertical="center" wrapText="1"/>
    </xf>
    <xf numFmtId="2" fontId="52" fillId="0" borderId="36" xfId="9" applyNumberFormat="1" applyFont="1" applyFill="1" applyBorder="1" applyAlignment="1">
      <alignment horizontal="center" vertical="center" wrapText="1"/>
    </xf>
    <xf numFmtId="0" fontId="53" fillId="0" borderId="36" xfId="9" applyFont="1" applyBorder="1" applyAlignment="1">
      <alignment horizontal="center" vertical="center" wrapText="1"/>
    </xf>
    <xf numFmtId="0" fontId="50" fillId="0" borderId="36" xfId="9" applyBorder="1"/>
    <xf numFmtId="179" fontId="52" fillId="0" borderId="36" xfId="8" applyFont="1" applyFill="1" applyBorder="1" applyAlignment="1" applyProtection="1">
      <alignment horizontal="center" vertical="center" wrapText="1"/>
    </xf>
    <xf numFmtId="0" fontId="52" fillId="0" borderId="0" xfId="9" applyFont="1" applyBorder="1" applyAlignment="1">
      <alignment horizontal="center" vertical="center" wrapText="1"/>
    </xf>
    <xf numFmtId="0" fontId="54" fillId="0" borderId="0" xfId="9" applyFont="1" applyBorder="1" applyAlignment="1">
      <alignment horizontal="center" vertical="center" wrapText="1"/>
    </xf>
    <xf numFmtId="3" fontId="52" fillId="0" borderId="0" xfId="9" applyNumberFormat="1" applyFont="1" applyBorder="1" applyAlignment="1">
      <alignment horizontal="center" vertical="center" wrapText="1"/>
    </xf>
    <xf numFmtId="0" fontId="50" fillId="0" borderId="0" xfId="9" applyAlignment="1">
      <alignment vertical="center" wrapText="1"/>
    </xf>
    <xf numFmtId="2" fontId="52" fillId="0" borderId="0" xfId="9" applyNumberFormat="1" applyFont="1" applyFill="1" applyBorder="1" applyAlignment="1">
      <alignment horizontal="right" vertical="center" wrapText="1"/>
    </xf>
    <xf numFmtId="3" fontId="36" fillId="2" borderId="0" xfId="0" applyNumberFormat="1" applyFont="1" applyFill="1"/>
    <xf numFmtId="1" fontId="51" fillId="15" borderId="36" xfId="9" applyNumberFormat="1" applyFont="1" applyFill="1" applyBorder="1" applyAlignment="1">
      <alignment horizontal="center" vertical="center" wrapText="1"/>
    </xf>
    <xf numFmtId="0" fontId="51" fillId="15" borderId="36" xfId="9" applyNumberFormat="1" applyFont="1" applyFill="1" applyBorder="1" applyAlignment="1">
      <alignment horizontal="center" vertical="center" wrapText="1"/>
    </xf>
    <xf numFmtId="4" fontId="51" fillId="15" borderId="36" xfId="9" applyNumberFormat="1" applyFont="1" applyFill="1" applyBorder="1" applyAlignment="1">
      <alignment horizontal="center" vertical="center" wrapText="1"/>
    </xf>
    <xf numFmtId="3" fontId="52" fillId="0" borderId="36" xfId="9"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0" fillId="0" borderId="1" xfId="0" applyBorder="1"/>
    <xf numFmtId="1"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3" fontId="0" fillId="0" borderId="1" xfId="0" applyNumberFormat="1" applyBorder="1"/>
    <xf numFmtId="0" fontId="0" fillId="0" borderId="1" xfId="0" applyBorder="1" applyAlignment="1">
      <alignment horizontal="right"/>
    </xf>
    <xf numFmtId="3"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0" fontId="0" fillId="0" borderId="1" xfId="0" applyBorder="1"/>
    <xf numFmtId="1"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43" fontId="3" fillId="0" borderId="1" xfId="2" applyFont="1" applyBorder="1" applyAlignment="1">
      <alignment horizontal="center" vertical="center" wrapText="1"/>
    </xf>
    <xf numFmtId="169" fontId="47"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69" fontId="3" fillId="0" borderId="1" xfId="0" applyNumberFormat="1" applyFont="1" applyBorder="1" applyAlignment="1">
      <alignment horizontal="center" vertical="center" wrapText="1"/>
    </xf>
    <xf numFmtId="180" fontId="3" fillId="0" borderId="1" xfId="0" applyNumberFormat="1" applyFont="1" applyFill="1" applyBorder="1" applyAlignment="1">
      <alignment horizontal="center" vertical="center" wrapText="1"/>
    </xf>
    <xf numFmtId="0" fontId="55" fillId="16" borderId="16" xfId="0" applyFont="1" applyFill="1" applyBorder="1" applyAlignment="1">
      <alignment horizontal="centerContinuous" vertical="center" wrapText="1"/>
    </xf>
    <xf numFmtId="44" fontId="55" fillId="16" borderId="16" xfId="1" applyFont="1" applyFill="1" applyBorder="1" applyAlignment="1">
      <alignment horizontal="centerContinuous" vertical="center" wrapText="1"/>
    </xf>
    <xf numFmtId="3" fontId="55" fillId="16" borderId="16" xfId="0" applyNumberFormat="1" applyFont="1" applyFill="1" applyBorder="1" applyAlignment="1">
      <alignment horizontal="centerContinuous" vertical="center" wrapText="1"/>
    </xf>
    <xf numFmtId="3" fontId="55" fillId="16" borderId="13" xfId="0" applyNumberFormat="1" applyFont="1" applyFill="1" applyBorder="1" applyAlignment="1">
      <alignment horizontal="centerContinuous" vertical="center" wrapText="1"/>
    </xf>
    <xf numFmtId="3" fontId="55" fillId="16"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2" fontId="3" fillId="0" borderId="0" xfId="0" applyNumberFormat="1" applyFont="1" applyFill="1" applyBorder="1" applyAlignment="1">
      <alignment horizontal="center" vertical="center" wrapText="1"/>
    </xf>
    <xf numFmtId="0" fontId="0" fillId="0" borderId="0" xfId="0" applyBorder="1"/>
    <xf numFmtId="0" fontId="2" fillId="0" borderId="0" xfId="0" applyFont="1" applyBorder="1" applyAlignment="1">
      <alignment horizontal="center" vertical="center" wrapText="1"/>
    </xf>
    <xf numFmtId="44" fontId="3" fillId="0" borderId="0" xfId="1"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3" fontId="56" fillId="0" borderId="0" xfId="0" applyNumberFormat="1" applyFont="1" applyAlignment="1">
      <alignment horizontal="center" vertical="center"/>
    </xf>
    <xf numFmtId="178" fontId="3" fillId="0" borderId="1" xfId="1" applyNumberFormat="1" applyFont="1" applyFill="1" applyBorder="1" applyAlignment="1">
      <alignment horizontal="center" vertical="center" wrapText="1"/>
    </xf>
    <xf numFmtId="0" fontId="10" fillId="0" borderId="0" xfId="0" applyFont="1"/>
    <xf numFmtId="0" fontId="7" fillId="0" borderId="0" xfId="0" applyFont="1"/>
    <xf numFmtId="0" fontId="59" fillId="18" borderId="1" xfId="0" applyFont="1" applyFill="1" applyBorder="1" applyAlignment="1">
      <alignment horizontal="center" vertical="center"/>
    </xf>
    <xf numFmtId="0" fontId="59" fillId="18" borderId="1" xfId="0" applyFont="1" applyFill="1" applyBorder="1" applyAlignment="1">
      <alignment horizontal="center" vertical="center" wrapText="1"/>
    </xf>
    <xf numFmtId="0" fontId="59" fillId="20" borderId="2" xfId="0" applyFont="1" applyFill="1" applyBorder="1" applyAlignment="1">
      <alignment horizontal="center" vertical="center" wrapText="1"/>
    </xf>
    <xf numFmtId="0" fontId="59" fillId="20" borderId="4" xfId="0" applyFont="1" applyFill="1" applyBorder="1" applyAlignment="1">
      <alignment horizontal="center" vertical="center" wrapText="1"/>
    </xf>
    <xf numFmtId="0" fontId="30" fillId="0" borderId="1" xfId="0" applyFont="1" applyFill="1" applyBorder="1" applyAlignment="1">
      <alignment vertical="center"/>
    </xf>
    <xf numFmtId="181" fontId="47" fillId="0" borderId="1" xfId="0" applyNumberFormat="1" applyFont="1" applyFill="1" applyBorder="1"/>
    <xf numFmtId="181" fontId="47" fillId="0" borderId="1" xfId="0" applyNumberFormat="1" applyFont="1" applyBorder="1"/>
    <xf numFmtId="181" fontId="47" fillId="0" borderId="2" xfId="0" applyNumberFormat="1" applyFont="1" applyBorder="1" applyAlignment="1">
      <alignment vertical="center" wrapText="1"/>
    </xf>
    <xf numFmtId="181" fontId="47" fillId="0" borderId="1" xfId="0" applyNumberFormat="1" applyFont="1" applyBorder="1" applyAlignment="1">
      <alignment vertical="center" wrapText="1"/>
    </xf>
    <xf numFmtId="181" fontId="47" fillId="0" borderId="3" xfId="0" applyNumberFormat="1" applyFont="1" applyFill="1" applyBorder="1"/>
    <xf numFmtId="181" fontId="47" fillId="0" borderId="14" xfId="0" applyNumberFormat="1" applyFont="1" applyBorder="1"/>
    <xf numFmtId="181" fontId="47" fillId="0" borderId="14" xfId="0" applyNumberFormat="1" applyFont="1" applyBorder="1" applyAlignment="1"/>
    <xf numFmtId="181" fontId="47" fillId="0" borderId="1" xfId="0" applyNumberFormat="1" applyFont="1" applyBorder="1" applyAlignment="1"/>
    <xf numFmtId="0" fontId="30" fillId="4" borderId="1" xfId="0" applyFont="1" applyFill="1" applyBorder="1" applyAlignment="1">
      <alignment vertical="center"/>
    </xf>
    <xf numFmtId="181" fontId="46" fillId="21" borderId="1" xfId="0" applyNumberFormat="1" applyFont="1" applyFill="1" applyBorder="1"/>
    <xf numFmtId="181" fontId="46" fillId="21" borderId="1" xfId="0" applyNumberFormat="1" applyFont="1" applyFill="1" applyBorder="1" applyAlignment="1"/>
    <xf numFmtId="0" fontId="57" fillId="0" borderId="37" xfId="11"/>
    <xf numFmtId="0" fontId="60" fillId="19" borderId="39" xfId="12" applyFont="1" applyFill="1" applyBorder="1"/>
    <xf numFmtId="1" fontId="0" fillId="0" borderId="1" xfId="0" applyNumberFormat="1" applyBorder="1"/>
    <xf numFmtId="0" fontId="5" fillId="22" borderId="1" xfId="0" applyFont="1" applyFill="1" applyBorder="1"/>
    <xf numFmtId="1" fontId="5" fillId="22" borderId="1" xfId="0" applyNumberFormat="1" applyFont="1" applyFill="1" applyBorder="1"/>
    <xf numFmtId="0" fontId="30" fillId="4" borderId="0" xfId="0" applyFont="1" applyFill="1" applyBorder="1" applyAlignment="1">
      <alignment vertical="center"/>
    </xf>
    <xf numFmtId="181" fontId="46" fillId="21" borderId="0" xfId="0" applyNumberFormat="1" applyFont="1" applyFill="1" applyBorder="1"/>
    <xf numFmtId="181" fontId="46" fillId="21" borderId="0" xfId="0" applyNumberFormat="1" applyFont="1" applyFill="1" applyBorder="1" applyAlignment="1"/>
    <xf numFmtId="0" fontId="57" fillId="0" borderId="37" xfId="11" applyAlignment="1"/>
    <xf numFmtId="0" fontId="60" fillId="19" borderId="38" xfId="12" applyFont="1" applyFill="1"/>
    <xf numFmtId="0" fontId="60" fillId="19" borderId="40" xfId="12" applyFont="1" applyFill="1" applyBorder="1"/>
    <xf numFmtId="0" fontId="60" fillId="19" borderId="1" xfId="12" applyFont="1" applyFill="1" applyBorder="1"/>
    <xf numFmtId="1" fontId="0" fillId="0" borderId="14" xfId="0" applyNumberFormat="1" applyBorder="1"/>
    <xf numFmtId="0" fontId="5" fillId="20" borderId="1" xfId="0" applyFont="1" applyFill="1" applyBorder="1"/>
    <xf numFmtId="170" fontId="0" fillId="0" borderId="1" xfId="0" applyNumberFormat="1" applyBorder="1"/>
    <xf numFmtId="1" fontId="5" fillId="22" borderId="14" xfId="0" applyNumberFormat="1" applyFont="1" applyFill="1" applyBorder="1"/>
    <xf numFmtId="1" fontId="0" fillId="0" borderId="0" xfId="1" applyNumberFormat="1" applyFont="1"/>
    <xf numFmtId="1" fontId="0" fillId="0" borderId="0" xfId="0" applyNumberFormat="1"/>
    <xf numFmtId="170" fontId="0" fillId="0" borderId="0" xfId="0" applyNumberFormat="1"/>
    <xf numFmtId="0" fontId="0" fillId="0" borderId="3" xfId="0" applyFill="1" applyBorder="1"/>
    <xf numFmtId="0" fontId="0" fillId="0" borderId="1" xfId="0" applyFill="1" applyBorder="1"/>
    <xf numFmtId="0" fontId="0" fillId="23" borderId="1" xfId="0" applyFill="1" applyBorder="1" applyAlignment="1">
      <alignment vertical="center" wrapText="1"/>
    </xf>
    <xf numFmtId="0" fontId="0" fillId="23" borderId="2" xfId="0" applyFill="1" applyBorder="1" applyAlignment="1">
      <alignment vertical="center" wrapText="1"/>
    </xf>
    <xf numFmtId="0" fontId="0" fillId="23" borderId="3" xfId="0" applyFill="1" applyBorder="1" applyAlignment="1">
      <alignment horizontal="left" vertical="center" wrapText="1" indent="4"/>
    </xf>
    <xf numFmtId="0" fontId="0" fillId="23" borderId="4" xfId="0" applyFill="1" applyBorder="1" applyAlignment="1">
      <alignment horizontal="left" vertical="center" wrapText="1" indent="4"/>
    </xf>
    <xf numFmtId="0" fontId="62" fillId="0" borderId="0" xfId="0" applyFont="1" applyAlignment="1">
      <alignment horizontal="left" vertical="center" indent="5"/>
    </xf>
    <xf numFmtId="3" fontId="35" fillId="0" borderId="29" xfId="0" applyNumberFormat="1" applyFont="1" applyBorder="1" applyAlignment="1">
      <alignment vertical="center" wrapText="1"/>
    </xf>
    <xf numFmtId="3" fontId="35" fillId="0" borderId="23" xfId="0" applyNumberFormat="1" applyFont="1" applyBorder="1" applyAlignment="1">
      <alignment vertical="center" wrapText="1"/>
    </xf>
    <xf numFmtId="3" fontId="35" fillId="0" borderId="20" xfId="0" applyNumberFormat="1" applyFont="1" applyBorder="1" applyAlignment="1">
      <alignment vertical="center" wrapText="1"/>
    </xf>
    <xf numFmtId="0" fontId="61" fillId="23"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64" fillId="0" borderId="1" xfId="0" applyFont="1" applyFill="1" applyBorder="1" applyAlignment="1">
      <alignment horizontal="center" vertical="center" wrapText="1"/>
    </xf>
    <xf numFmtId="175" fontId="12" fillId="0" borderId="1" xfId="2"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67" fontId="13" fillId="0" borderId="1" xfId="3" applyNumberFormat="1" applyFont="1" applyFill="1" applyBorder="1" applyAlignment="1">
      <alignment horizontal="center" vertical="center" wrapText="1"/>
    </xf>
    <xf numFmtId="170" fontId="12" fillId="0" borderId="1" xfId="0" applyNumberFormat="1" applyFont="1" applyFill="1" applyBorder="1" applyAlignment="1">
      <alignment horizontal="center" vertical="center" wrapText="1"/>
    </xf>
    <xf numFmtId="0" fontId="12" fillId="0" borderId="1" xfId="9" applyFont="1" applyFill="1" applyBorder="1" applyAlignment="1">
      <alignment horizontal="center" vertical="center" wrapText="1"/>
    </xf>
    <xf numFmtId="3" fontId="12" fillId="0" borderId="1" xfId="9" applyNumberFormat="1" applyFont="1" applyFill="1" applyBorder="1" applyAlignment="1">
      <alignment horizontal="center" vertical="center" wrapText="1"/>
    </xf>
    <xf numFmtId="2" fontId="12" fillId="0" borderId="1" xfId="9" applyNumberFormat="1" applyFont="1" applyFill="1" applyBorder="1" applyAlignment="1">
      <alignment horizontal="center" vertical="center" wrapText="1"/>
    </xf>
    <xf numFmtId="0" fontId="65" fillId="0" borderId="1" xfId="9" applyFont="1" applyFill="1" applyBorder="1" applyAlignment="1">
      <alignment horizontal="center" vertical="center" wrapText="1"/>
    </xf>
    <xf numFmtId="43" fontId="12" fillId="0" borderId="1" xfId="2" applyFont="1" applyFill="1" applyBorder="1" applyAlignment="1">
      <alignment horizontal="center" vertical="center" wrapText="1"/>
    </xf>
    <xf numFmtId="165" fontId="12" fillId="0" borderId="1" xfId="0" applyNumberFormat="1" applyFont="1" applyFill="1" applyBorder="1" applyAlignment="1">
      <alignment horizontal="center" vertical="center" wrapText="1"/>
    </xf>
    <xf numFmtId="3" fontId="66" fillId="0" borderId="1"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168" fontId="12" fillId="0" borderId="1" xfId="0" applyNumberFormat="1" applyFont="1" applyFill="1" applyBorder="1" applyAlignment="1">
      <alignment horizontal="center" vertical="center" wrapText="1"/>
    </xf>
    <xf numFmtId="174" fontId="12" fillId="0" borderId="1" xfId="0" applyNumberFormat="1" applyFont="1" applyFill="1" applyBorder="1" applyAlignment="1">
      <alignment horizontal="center" vertical="center" wrapText="1"/>
    </xf>
    <xf numFmtId="173" fontId="12" fillId="0" borderId="1" xfId="2"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3" fontId="64" fillId="0" borderId="1" xfId="0" applyNumberFormat="1" applyFont="1" applyFill="1" applyBorder="1" applyAlignment="1">
      <alignment horizontal="center" vertical="center" wrapText="1"/>
    </xf>
    <xf numFmtId="172" fontId="65" fillId="0" borderId="1" xfId="5" applyNumberFormat="1" applyFont="1" applyFill="1" applyBorder="1" applyAlignment="1">
      <alignment horizontal="center" vertical="center" wrapText="1"/>
    </xf>
    <xf numFmtId="173" fontId="13" fillId="0" borderId="1" xfId="2" applyNumberFormat="1" applyFont="1" applyFill="1" applyBorder="1" applyAlignment="1">
      <alignment horizontal="center" vertical="center" wrapText="1"/>
    </xf>
    <xf numFmtId="0" fontId="66" fillId="0" borderId="1" xfId="0" applyFont="1" applyFill="1" applyBorder="1" applyAlignment="1">
      <alignment horizontal="center" vertical="center" wrapText="1"/>
    </xf>
    <xf numFmtId="1" fontId="63" fillId="25" borderId="1" xfId="0" applyNumberFormat="1" applyFont="1" applyFill="1" applyBorder="1" applyAlignment="1">
      <alignment horizontal="center" vertical="center" wrapText="1"/>
    </xf>
    <xf numFmtId="0" fontId="63" fillId="25" borderId="1" xfId="0" applyNumberFormat="1" applyFont="1" applyFill="1" applyBorder="1" applyAlignment="1">
      <alignment horizontal="center" vertical="center" wrapText="1"/>
    </xf>
    <xf numFmtId="4" fontId="63" fillId="25"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173" fontId="64" fillId="0" borderId="1" xfId="2" applyNumberFormat="1" applyFont="1" applyFill="1" applyBorder="1" applyAlignment="1">
      <alignment horizontal="center" vertical="center" wrapText="1"/>
    </xf>
    <xf numFmtId="0" fontId="67" fillId="0" borderId="1" xfId="0" applyFont="1" applyFill="1" applyBorder="1" applyAlignment="1">
      <alignment horizontal="center" vertical="center" wrapText="1"/>
    </xf>
    <xf numFmtId="0" fontId="13" fillId="0" borderId="0" xfId="0" applyFont="1" applyAlignment="1">
      <alignment horizontal="center" vertical="center" wrapText="1"/>
    </xf>
    <xf numFmtId="0" fontId="13" fillId="0" borderId="13" xfId="0" applyFont="1" applyBorder="1" applyAlignment="1">
      <alignment horizontal="center" vertical="center" wrapText="1"/>
    </xf>
    <xf numFmtId="173" fontId="63" fillId="25" borderId="1" xfId="2" applyNumberFormat="1" applyFont="1" applyFill="1" applyBorder="1" applyAlignment="1">
      <alignment horizontal="center" vertical="center" wrapText="1"/>
    </xf>
    <xf numFmtId="173" fontId="13" fillId="0" borderId="0" xfId="2" applyNumberFormat="1" applyFont="1" applyAlignment="1">
      <alignment horizontal="center" vertical="center" wrapText="1"/>
    </xf>
    <xf numFmtId="0" fontId="58" fillId="24" borderId="1" xfId="0" applyFont="1" applyFill="1" applyBorder="1" applyAlignment="1">
      <alignment horizontal="center" vertical="center" wrapText="1"/>
    </xf>
    <xf numFmtId="0" fontId="61" fillId="23" borderId="1" xfId="0" applyFont="1" applyFill="1" applyBorder="1" applyAlignment="1">
      <alignment horizontal="left" vertical="center" wrapText="1"/>
    </xf>
    <xf numFmtId="0" fontId="46" fillId="12" borderId="2" xfId="0" applyFont="1" applyFill="1" applyBorder="1" applyAlignment="1">
      <alignment horizontal="center" vertical="center" wrapText="1"/>
    </xf>
    <xf numFmtId="0" fontId="46" fillId="12" borderId="3" xfId="0" applyFont="1" applyFill="1" applyBorder="1" applyAlignment="1">
      <alignment horizontal="center" vertical="center" wrapText="1"/>
    </xf>
    <xf numFmtId="0" fontId="46" fillId="12"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9" xfId="0" applyFont="1" applyBorder="1" applyAlignment="1">
      <alignment vertical="center" wrapText="1"/>
    </xf>
    <xf numFmtId="0" fontId="28" fillId="0" borderId="2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5" fillId="0" borderId="29" xfId="0" applyFont="1" applyBorder="1" applyAlignment="1">
      <alignment vertical="center" wrapText="1"/>
    </xf>
    <xf numFmtId="0" fontId="35" fillId="0" borderId="23" xfId="0" applyFont="1" applyBorder="1" applyAlignment="1">
      <alignment vertical="center" wrapText="1"/>
    </xf>
    <xf numFmtId="0" fontId="35" fillId="0" borderId="20" xfId="0" applyFont="1" applyBorder="1" applyAlignment="1">
      <alignment vertical="center" wrapText="1"/>
    </xf>
    <xf numFmtId="0" fontId="39" fillId="0" borderId="32" xfId="0" applyFont="1" applyBorder="1" applyAlignment="1">
      <alignment horizontal="left" vertical="center" wrapText="1" indent="2"/>
    </xf>
    <xf numFmtId="0" fontId="39" fillId="0" borderId="25" xfId="0" applyFont="1" applyBorder="1" applyAlignment="1">
      <alignment horizontal="left" vertical="center" wrapText="1" indent="2"/>
    </xf>
    <xf numFmtId="0" fontId="39" fillId="0" borderId="21" xfId="0" applyFont="1" applyBorder="1" applyAlignment="1">
      <alignment horizontal="left" vertical="center" wrapText="1" indent="2"/>
    </xf>
    <xf numFmtId="0" fontId="34" fillId="0" borderId="19" xfId="0" applyFont="1" applyBorder="1" applyAlignment="1">
      <alignment vertical="center" wrapText="1"/>
    </xf>
    <xf numFmtId="0" fontId="34" fillId="0" borderId="26" xfId="0" applyFont="1" applyBorder="1" applyAlignment="1">
      <alignment vertical="center" wrapText="1"/>
    </xf>
    <xf numFmtId="0" fontId="34" fillId="0" borderId="24" xfId="0" applyFont="1" applyBorder="1" applyAlignment="1">
      <alignment vertical="center" wrapText="1"/>
    </xf>
    <xf numFmtId="0" fontId="39" fillId="0" borderId="30" xfId="0" applyFont="1" applyBorder="1" applyAlignment="1">
      <alignment horizontal="left" vertical="center" wrapText="1" indent="2"/>
    </xf>
    <xf numFmtId="0" fontId="39" fillId="0" borderId="31" xfId="0" applyFont="1" applyBorder="1" applyAlignment="1">
      <alignment horizontal="left" vertical="center" wrapText="1" indent="2"/>
    </xf>
    <xf numFmtId="0" fontId="39" fillId="0" borderId="28" xfId="0" applyFont="1" applyBorder="1" applyAlignment="1">
      <alignment horizontal="left" vertical="center" wrapText="1" indent="2"/>
    </xf>
    <xf numFmtId="0" fontId="39" fillId="0" borderId="33" xfId="0" applyFont="1" applyBorder="1" applyAlignment="1">
      <alignment horizontal="left" vertical="center" wrapText="1" indent="2"/>
    </xf>
    <xf numFmtId="0" fontId="39" fillId="0" borderId="0" xfId="0" applyFont="1" applyAlignment="1">
      <alignment horizontal="left" vertical="center" wrapText="1" indent="2"/>
    </xf>
    <xf numFmtId="0" fontId="39" fillId="0" borderId="27" xfId="0" applyFont="1" applyBorder="1" applyAlignment="1">
      <alignment horizontal="left" vertical="center" wrapText="1" indent="2"/>
    </xf>
    <xf numFmtId="0" fontId="36" fillId="0" borderId="27" xfId="0" applyFont="1" applyBorder="1" applyAlignment="1">
      <alignment horizontal="center" vertical="center"/>
    </xf>
    <xf numFmtId="0" fontId="36" fillId="0" borderId="21" xfId="0" applyFont="1" applyBorder="1" applyAlignment="1">
      <alignment horizontal="center" vertical="center"/>
    </xf>
    <xf numFmtId="0" fontId="36" fillId="0" borderId="26" xfId="0" applyFont="1" applyBorder="1" applyAlignment="1">
      <alignment horizontal="center" vertical="center"/>
    </xf>
    <xf numFmtId="0" fontId="36" fillId="0" borderId="24" xfId="0" applyFont="1" applyBorder="1" applyAlignment="1">
      <alignment horizontal="center" vertical="center"/>
    </xf>
    <xf numFmtId="1" fontId="0" fillId="0" borderId="15" xfId="0" applyNumberFormat="1" applyBorder="1" applyAlignment="1">
      <alignment horizontal="center" vertical="center" wrapText="1"/>
    </xf>
    <xf numFmtId="1" fontId="0" fillId="0" borderId="41" xfId="0" applyNumberFormat="1" applyBorder="1" applyAlignment="1">
      <alignment horizontal="center" vertical="center"/>
    </xf>
    <xf numFmtId="1" fontId="0" fillId="0" borderId="43" xfId="0" applyNumberFormat="1" applyBorder="1" applyAlignment="1">
      <alignment horizontal="center" vertical="center"/>
    </xf>
    <xf numFmtId="1" fontId="0" fillId="0" borderId="44" xfId="0" applyNumberFormat="1" applyBorder="1" applyAlignment="1">
      <alignment horizontal="center" vertical="center"/>
    </xf>
    <xf numFmtId="1" fontId="0" fillId="0" borderId="17" xfId="0" applyNumberFormat="1" applyBorder="1" applyAlignment="1">
      <alignment horizontal="center" vertical="center"/>
    </xf>
    <xf numFmtId="1" fontId="0" fillId="0" borderId="42" xfId="0" applyNumberFormat="1" applyBorder="1" applyAlignment="1">
      <alignment horizontal="center" vertical="center"/>
    </xf>
    <xf numFmtId="0" fontId="59" fillId="18" borderId="14" xfId="0" applyFont="1" applyFill="1" applyBorder="1" applyAlignment="1">
      <alignment horizontal="center" vertical="center"/>
    </xf>
    <xf numFmtId="0" fontId="59" fillId="18" borderId="13" xfId="0" applyFont="1" applyFill="1" applyBorder="1" applyAlignment="1">
      <alignment horizontal="center" vertical="center"/>
    </xf>
    <xf numFmtId="0" fontId="59" fillId="19" borderId="2" xfId="0" applyFont="1" applyFill="1" applyBorder="1" applyAlignment="1">
      <alignment horizontal="center" vertical="center" wrapText="1"/>
    </xf>
    <xf numFmtId="0" fontId="59" fillId="19" borderId="3" xfId="0" applyFont="1" applyFill="1" applyBorder="1" applyAlignment="1">
      <alignment horizontal="center" vertical="center"/>
    </xf>
    <xf numFmtId="0" fontId="59" fillId="19" borderId="4" xfId="0" applyFont="1" applyFill="1" applyBorder="1" applyAlignment="1">
      <alignment horizontal="center" vertical="center"/>
    </xf>
    <xf numFmtId="0" fontId="59" fillId="19" borderId="1" xfId="0" applyFont="1" applyFill="1" applyBorder="1" applyAlignment="1">
      <alignment horizontal="center" vertical="center"/>
    </xf>
    <xf numFmtId="0" fontId="59" fillId="20" borderId="2" xfId="0" applyFont="1" applyFill="1" applyBorder="1" applyAlignment="1">
      <alignment horizontal="center" vertical="center" wrapText="1"/>
    </xf>
    <xf numFmtId="0" fontId="59" fillId="20" borderId="4" xfId="0" applyFont="1" applyFill="1" applyBorder="1" applyAlignment="1">
      <alignment horizontal="center" vertical="center" wrapText="1"/>
    </xf>
    <xf numFmtId="0" fontId="59" fillId="20" borderId="2" xfId="0" applyFont="1" applyFill="1" applyBorder="1" applyAlignment="1">
      <alignment horizontal="center" vertical="center"/>
    </xf>
    <xf numFmtId="0" fontId="59" fillId="20" borderId="4" xfId="0" applyFont="1" applyFill="1" applyBorder="1" applyAlignment="1">
      <alignment horizontal="center" vertical="center"/>
    </xf>
    <xf numFmtId="181" fontId="17" fillId="0" borderId="2" xfId="0" applyNumberFormat="1" applyFont="1" applyBorder="1" applyAlignment="1">
      <alignment horizontal="center" vertical="center" wrapText="1"/>
    </xf>
    <xf numFmtId="181" fontId="17" fillId="0" borderId="3" xfId="0" applyNumberFormat="1" applyFont="1" applyBorder="1" applyAlignment="1">
      <alignment horizontal="center" vertical="center"/>
    </xf>
    <xf numFmtId="181" fontId="17" fillId="0" borderId="4" xfId="0" applyNumberFormat="1" applyFont="1" applyBorder="1" applyAlignment="1">
      <alignment horizontal="center" vertical="center"/>
    </xf>
    <xf numFmtId="181" fontId="17" fillId="0" borderId="2" xfId="0" applyNumberFormat="1" applyFont="1" applyBorder="1" applyAlignment="1">
      <alignment horizontal="center" wrapText="1"/>
    </xf>
    <xf numFmtId="181" fontId="17" fillId="0" borderId="4" xfId="0" applyNumberFormat="1" applyFont="1" applyBorder="1" applyAlignment="1">
      <alignment horizontal="center"/>
    </xf>
    <xf numFmtId="0" fontId="57" fillId="0" borderId="37" xfId="11" applyAlignment="1">
      <alignment horizontal="center"/>
    </xf>
    <xf numFmtId="1" fontId="0" fillId="0" borderId="15" xfId="0" applyNumberFormat="1" applyBorder="1" applyAlignment="1">
      <alignment horizontal="center" wrapText="1"/>
    </xf>
    <xf numFmtId="1" fontId="0" fillId="0" borderId="41" xfId="0" applyNumberFormat="1" applyBorder="1" applyAlignment="1">
      <alignment horizontal="center"/>
    </xf>
    <xf numFmtId="1" fontId="0" fillId="0" borderId="17" xfId="0" applyNumberFormat="1" applyBorder="1" applyAlignment="1">
      <alignment horizontal="center"/>
    </xf>
    <xf numFmtId="1" fontId="0" fillId="0" borderId="42" xfId="0" applyNumberFormat="1" applyBorder="1" applyAlignment="1">
      <alignment horizontal="center"/>
    </xf>
    <xf numFmtId="0" fontId="41" fillId="0" borderId="29" xfId="0" applyFont="1" applyBorder="1" applyAlignment="1">
      <alignment horizontal="center" vertical="center" wrapText="1"/>
    </xf>
    <xf numFmtId="0" fontId="41" fillId="0" borderId="20" xfId="0" applyFont="1" applyBorder="1" applyAlignment="1">
      <alignment horizontal="center" vertical="center" wrapText="1"/>
    </xf>
    <xf numFmtId="0" fontId="0" fillId="0" borderId="1" xfId="0" applyBorder="1" applyAlignment="1">
      <alignment horizontal="center" wrapText="1"/>
    </xf>
  </cellXfs>
  <cellStyles count="13">
    <cellStyle name="Celda de comprobación" xfId="12" builtinId="23"/>
    <cellStyle name="Excel Built-in Normal" xfId="9"/>
    <cellStyle name="Millares" xfId="2" builtinId="3"/>
    <cellStyle name="Millares 2" xfId="3"/>
    <cellStyle name="Millares 3" xfId="5"/>
    <cellStyle name="Moneda" xfId="1" builtinId="4"/>
    <cellStyle name="Moneda 2" xfId="4"/>
    <cellStyle name="Moneda 2 2" xfId="10"/>
    <cellStyle name="Moneda 3" xfId="6"/>
    <cellStyle name="Moneda 4" xfId="8"/>
    <cellStyle name="Normal" xfId="0" builtinId="0"/>
    <cellStyle name="Normal 2" xfId="7"/>
    <cellStyle name="Título 1" xfId="11" builtinId="1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lang val="es-CL"/>
  <c:style val="37"/>
  <c:chart>
    <c:title>
      <c:tx>
        <c:rich>
          <a:bodyPr/>
          <a:lstStyle/>
          <a:p>
            <a:pPr>
              <a:defRPr/>
            </a:pPr>
            <a:r>
              <a:rPr lang="es-ES"/>
              <a:t>FERIAS LIBRES</a:t>
            </a:r>
          </a:p>
        </c:rich>
      </c:tx>
    </c:title>
    <c:plotArea>
      <c:layout/>
      <c:barChart>
        <c:barDir val="col"/>
        <c:grouping val="clustered"/>
        <c:ser>
          <c:idx val="0"/>
          <c:order val="0"/>
          <c:tx>
            <c:strRef>
              <c:f>'[1]Ferias Libres'!$B$3</c:f>
              <c:strCache>
                <c:ptCount val="1"/>
                <c:pt idx="0">
                  <c:v>TON.</c:v>
                </c:pt>
              </c:strCache>
            </c:strRef>
          </c:tx>
          <c:cat>
            <c:strRef>
              <c:f>'[1]Ferias Libres'!$A$4:$A$15</c:f>
              <c:strCache>
                <c:ptCount val="12"/>
                <c:pt idx="0">
                  <c:v>ENE.</c:v>
                </c:pt>
                <c:pt idx="1">
                  <c:v>FEB.</c:v>
                </c:pt>
                <c:pt idx="2">
                  <c:v>MAR.</c:v>
                </c:pt>
                <c:pt idx="3">
                  <c:v>ABRIL</c:v>
                </c:pt>
                <c:pt idx="4">
                  <c:v>MAYO</c:v>
                </c:pt>
                <c:pt idx="5">
                  <c:v>JUNIO</c:v>
                </c:pt>
                <c:pt idx="6">
                  <c:v>JULIO </c:v>
                </c:pt>
                <c:pt idx="7">
                  <c:v>AGOS.</c:v>
                </c:pt>
                <c:pt idx="8">
                  <c:v>SEP.</c:v>
                </c:pt>
                <c:pt idx="9">
                  <c:v>OCT.</c:v>
                </c:pt>
                <c:pt idx="10">
                  <c:v>NOV.</c:v>
                </c:pt>
                <c:pt idx="11">
                  <c:v>DIC.</c:v>
                </c:pt>
              </c:strCache>
            </c:strRef>
          </c:cat>
          <c:val>
            <c:numRef>
              <c:f>'[1]Ferias Libres'!$B$4:$B$15</c:f>
              <c:numCache>
                <c:formatCode>General</c:formatCode>
                <c:ptCount val="12"/>
                <c:pt idx="0">
                  <c:v>302.10000000000002</c:v>
                </c:pt>
                <c:pt idx="1">
                  <c:v>256.89999999999998</c:v>
                </c:pt>
                <c:pt idx="2">
                  <c:v>282.57</c:v>
                </c:pt>
                <c:pt idx="3">
                  <c:v>289.52</c:v>
                </c:pt>
                <c:pt idx="4">
                  <c:v>310.58999999999997</c:v>
                </c:pt>
                <c:pt idx="5">
                  <c:v>330.76</c:v>
                </c:pt>
                <c:pt idx="6">
                  <c:v>330.72</c:v>
                </c:pt>
                <c:pt idx="7">
                  <c:v>322.51</c:v>
                </c:pt>
                <c:pt idx="8">
                  <c:v>285.67</c:v>
                </c:pt>
                <c:pt idx="9">
                  <c:v>347.14</c:v>
                </c:pt>
                <c:pt idx="10">
                  <c:v>275</c:v>
                </c:pt>
                <c:pt idx="11">
                  <c:v>309.87</c:v>
                </c:pt>
              </c:numCache>
            </c:numRef>
          </c:val>
        </c:ser>
        <c:ser>
          <c:idx val="1"/>
          <c:order val="1"/>
          <c:tx>
            <c:strRef>
              <c:f>'[1]Ferias Libres'!$C$3</c:f>
              <c:strCache>
                <c:ptCount val="1"/>
                <c:pt idx="0">
                  <c:v>Nº VIAJES</c:v>
                </c:pt>
              </c:strCache>
            </c:strRef>
          </c:tx>
          <c:cat>
            <c:strRef>
              <c:f>'[1]Ferias Libres'!$A$4:$A$15</c:f>
              <c:strCache>
                <c:ptCount val="12"/>
                <c:pt idx="0">
                  <c:v>ENE.</c:v>
                </c:pt>
                <c:pt idx="1">
                  <c:v>FEB.</c:v>
                </c:pt>
                <c:pt idx="2">
                  <c:v>MAR.</c:v>
                </c:pt>
                <c:pt idx="3">
                  <c:v>ABRIL</c:v>
                </c:pt>
                <c:pt idx="4">
                  <c:v>MAYO</c:v>
                </c:pt>
                <c:pt idx="5">
                  <c:v>JUNIO</c:v>
                </c:pt>
                <c:pt idx="6">
                  <c:v>JULIO </c:v>
                </c:pt>
                <c:pt idx="7">
                  <c:v>AGOS.</c:v>
                </c:pt>
                <c:pt idx="8">
                  <c:v>SEP.</c:v>
                </c:pt>
                <c:pt idx="9">
                  <c:v>OCT.</c:v>
                </c:pt>
                <c:pt idx="10">
                  <c:v>NOV.</c:v>
                </c:pt>
                <c:pt idx="11">
                  <c:v>DIC.</c:v>
                </c:pt>
              </c:strCache>
            </c:strRef>
          </c:cat>
          <c:val>
            <c:numRef>
              <c:f>'[1]Ferias Libres'!$C$4:$C$15</c:f>
              <c:numCache>
                <c:formatCode>General</c:formatCode>
                <c:ptCount val="12"/>
                <c:pt idx="0">
                  <c:v>53</c:v>
                </c:pt>
                <c:pt idx="1">
                  <c:v>48</c:v>
                </c:pt>
                <c:pt idx="2">
                  <c:v>50</c:v>
                </c:pt>
                <c:pt idx="3">
                  <c:v>50</c:v>
                </c:pt>
                <c:pt idx="4">
                  <c:v>52</c:v>
                </c:pt>
                <c:pt idx="5">
                  <c:v>50</c:v>
                </c:pt>
                <c:pt idx="6">
                  <c:v>52</c:v>
                </c:pt>
                <c:pt idx="7">
                  <c:v>51</c:v>
                </c:pt>
                <c:pt idx="8">
                  <c:v>48</c:v>
                </c:pt>
                <c:pt idx="9">
                  <c:v>52</c:v>
                </c:pt>
                <c:pt idx="10">
                  <c:v>50</c:v>
                </c:pt>
                <c:pt idx="11">
                  <c:v>50</c:v>
                </c:pt>
              </c:numCache>
            </c:numRef>
          </c:val>
        </c:ser>
        <c:dLbls/>
        <c:axId val="106778624"/>
        <c:axId val="106780160"/>
      </c:barChart>
      <c:catAx>
        <c:axId val="106778624"/>
        <c:scaling>
          <c:orientation val="minMax"/>
        </c:scaling>
        <c:axPos val="b"/>
        <c:majorTickMark val="none"/>
        <c:tickLblPos val="nextTo"/>
        <c:crossAx val="106780160"/>
        <c:crosses val="autoZero"/>
        <c:auto val="1"/>
        <c:lblAlgn val="ctr"/>
        <c:lblOffset val="100"/>
      </c:catAx>
      <c:valAx>
        <c:axId val="106780160"/>
        <c:scaling>
          <c:orientation val="minMax"/>
        </c:scaling>
        <c:axPos val="l"/>
        <c:majorGridlines/>
        <c:numFmt formatCode="General" sourceLinked="1"/>
        <c:majorTickMark val="none"/>
        <c:tickLblPos val="nextTo"/>
        <c:crossAx val="106778624"/>
        <c:crosses val="autoZero"/>
        <c:crossBetween val="between"/>
      </c:valAx>
      <c:dTable>
        <c:showHorzBorder val="1"/>
        <c:showVertBorder val="1"/>
        <c:showOutline val="1"/>
        <c:showKeys val="1"/>
      </c:dTable>
    </c:plotArea>
    <c:plotVisOnly val="1"/>
    <c:dispBlanksAs val="gap"/>
  </c:chart>
  <c:printSettings>
    <c:headerFooter/>
    <c:pageMargins b="0.75000000000000011" l="0.70000000000000007" r="0.70000000000000007" t="0.75000000000000011" header="0.30000000000000004" footer="0.30000000000000004"/>
    <c:pageSetup paperSize="258"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L"/>
  <c:style val="37"/>
  <c:chart>
    <c:title>
      <c:tx>
        <c:rich>
          <a:bodyPr/>
          <a:lstStyle/>
          <a:p>
            <a:pPr>
              <a:defRPr/>
            </a:pPr>
            <a:r>
              <a:rPr lang="es-ES"/>
              <a:t>MUNICIPAL VOLUMINOSO</a:t>
            </a:r>
          </a:p>
        </c:rich>
      </c:tx>
    </c:title>
    <c:plotArea>
      <c:layout/>
      <c:barChart>
        <c:barDir val="col"/>
        <c:grouping val="clustered"/>
        <c:ser>
          <c:idx val="0"/>
          <c:order val="0"/>
          <c:tx>
            <c:strRef>
              <c:f>[1]Municipal!$B$3</c:f>
              <c:strCache>
                <c:ptCount val="1"/>
                <c:pt idx="0">
                  <c:v>TON.</c:v>
                </c:pt>
              </c:strCache>
            </c:strRef>
          </c:tx>
          <c:cat>
            <c:strRef>
              <c:f>[1]Municipal!$A$4:$A$15</c:f>
              <c:strCache>
                <c:ptCount val="12"/>
                <c:pt idx="0">
                  <c:v>ENE.</c:v>
                </c:pt>
                <c:pt idx="1">
                  <c:v>FEB.</c:v>
                </c:pt>
                <c:pt idx="2">
                  <c:v>MAR.</c:v>
                </c:pt>
                <c:pt idx="3">
                  <c:v>ABRIL</c:v>
                </c:pt>
                <c:pt idx="4">
                  <c:v>MAYO</c:v>
                </c:pt>
                <c:pt idx="5">
                  <c:v>JUNIO</c:v>
                </c:pt>
                <c:pt idx="6">
                  <c:v>JULIO </c:v>
                </c:pt>
                <c:pt idx="7">
                  <c:v>AGOS.</c:v>
                </c:pt>
                <c:pt idx="8">
                  <c:v>SEP.</c:v>
                </c:pt>
                <c:pt idx="9">
                  <c:v>OCT.</c:v>
                </c:pt>
                <c:pt idx="10">
                  <c:v>NOV.</c:v>
                </c:pt>
                <c:pt idx="11">
                  <c:v>DIC.</c:v>
                </c:pt>
              </c:strCache>
            </c:strRef>
          </c:cat>
          <c:val>
            <c:numRef>
              <c:f>[1]Municipal!$B$4:$B$15</c:f>
              <c:numCache>
                <c:formatCode>General</c:formatCode>
                <c:ptCount val="12"/>
                <c:pt idx="0">
                  <c:v>276.08999999999997</c:v>
                </c:pt>
                <c:pt idx="1">
                  <c:v>58.87</c:v>
                </c:pt>
                <c:pt idx="2">
                  <c:v>341.28</c:v>
                </c:pt>
                <c:pt idx="3">
                  <c:v>298.72000000000003</c:v>
                </c:pt>
                <c:pt idx="4">
                  <c:v>312.86</c:v>
                </c:pt>
                <c:pt idx="5">
                  <c:v>366.97</c:v>
                </c:pt>
                <c:pt idx="6">
                  <c:v>222.6</c:v>
                </c:pt>
                <c:pt idx="7">
                  <c:v>211.82</c:v>
                </c:pt>
                <c:pt idx="8">
                  <c:v>248.65</c:v>
                </c:pt>
                <c:pt idx="9">
                  <c:v>473.63</c:v>
                </c:pt>
                <c:pt idx="10">
                  <c:v>649</c:v>
                </c:pt>
                <c:pt idx="11">
                  <c:v>647.70000000000005</c:v>
                </c:pt>
              </c:numCache>
            </c:numRef>
          </c:val>
        </c:ser>
        <c:ser>
          <c:idx val="1"/>
          <c:order val="1"/>
          <c:tx>
            <c:strRef>
              <c:f>[1]Municipal!$C$3</c:f>
              <c:strCache>
                <c:ptCount val="1"/>
                <c:pt idx="0">
                  <c:v>Nº VIAJES</c:v>
                </c:pt>
              </c:strCache>
            </c:strRef>
          </c:tx>
          <c:cat>
            <c:strRef>
              <c:f>[1]Municipal!$A$4:$A$15</c:f>
              <c:strCache>
                <c:ptCount val="12"/>
                <c:pt idx="0">
                  <c:v>ENE.</c:v>
                </c:pt>
                <c:pt idx="1">
                  <c:v>FEB.</c:v>
                </c:pt>
                <c:pt idx="2">
                  <c:v>MAR.</c:v>
                </c:pt>
                <c:pt idx="3">
                  <c:v>ABRIL</c:v>
                </c:pt>
                <c:pt idx="4">
                  <c:v>MAYO</c:v>
                </c:pt>
                <c:pt idx="5">
                  <c:v>JUNIO</c:v>
                </c:pt>
                <c:pt idx="6">
                  <c:v>JULIO </c:v>
                </c:pt>
                <c:pt idx="7">
                  <c:v>AGOS.</c:v>
                </c:pt>
                <c:pt idx="8">
                  <c:v>SEP.</c:v>
                </c:pt>
                <c:pt idx="9">
                  <c:v>OCT.</c:v>
                </c:pt>
                <c:pt idx="10">
                  <c:v>NOV.</c:v>
                </c:pt>
                <c:pt idx="11">
                  <c:v>DIC.</c:v>
                </c:pt>
              </c:strCache>
            </c:strRef>
          </c:cat>
          <c:val>
            <c:numRef>
              <c:f>[1]Municipal!$C$4:$C$16</c:f>
              <c:numCache>
                <c:formatCode>General</c:formatCode>
                <c:ptCount val="13"/>
                <c:pt idx="0">
                  <c:v>85</c:v>
                </c:pt>
                <c:pt idx="1">
                  <c:v>23</c:v>
                </c:pt>
                <c:pt idx="2">
                  <c:v>116</c:v>
                </c:pt>
                <c:pt idx="3">
                  <c:v>121</c:v>
                </c:pt>
                <c:pt idx="4">
                  <c:v>116</c:v>
                </c:pt>
                <c:pt idx="5">
                  <c:v>120</c:v>
                </c:pt>
                <c:pt idx="6">
                  <c:v>89</c:v>
                </c:pt>
                <c:pt idx="7">
                  <c:v>94</c:v>
                </c:pt>
                <c:pt idx="8">
                  <c:v>97</c:v>
                </c:pt>
                <c:pt idx="9">
                  <c:v>140</c:v>
                </c:pt>
                <c:pt idx="10">
                  <c:v>218</c:v>
                </c:pt>
                <c:pt idx="11">
                  <c:v>206</c:v>
                </c:pt>
                <c:pt idx="12">
                  <c:v>1425</c:v>
                </c:pt>
              </c:numCache>
            </c:numRef>
          </c:val>
        </c:ser>
        <c:dLbls/>
        <c:axId val="106807296"/>
        <c:axId val="106808832"/>
      </c:barChart>
      <c:catAx>
        <c:axId val="106807296"/>
        <c:scaling>
          <c:orientation val="minMax"/>
        </c:scaling>
        <c:axPos val="b"/>
        <c:majorTickMark val="none"/>
        <c:tickLblPos val="nextTo"/>
        <c:crossAx val="106808832"/>
        <c:crosses val="autoZero"/>
        <c:auto val="1"/>
        <c:lblAlgn val="ctr"/>
        <c:lblOffset val="100"/>
      </c:catAx>
      <c:valAx>
        <c:axId val="106808832"/>
        <c:scaling>
          <c:orientation val="minMax"/>
        </c:scaling>
        <c:axPos val="l"/>
        <c:majorGridlines/>
        <c:title/>
        <c:numFmt formatCode="General" sourceLinked="1"/>
        <c:majorTickMark val="none"/>
        <c:tickLblPos val="nextTo"/>
        <c:crossAx val="106807296"/>
        <c:crosses val="autoZero"/>
        <c:crossBetween val="between"/>
      </c:valAx>
      <c:dTable>
        <c:showHorzBorder val="1"/>
        <c:showVertBorder val="1"/>
        <c:showOutline val="1"/>
        <c:showKeys val="1"/>
      </c:dTable>
    </c:plotArea>
    <c:plotVisOnly val="1"/>
    <c:dispBlanksAs val="gap"/>
  </c:chart>
  <c:printSettings>
    <c:headerFooter/>
    <c:pageMargins b="0.75000000000000011" l="0.70000000000000007" r="0.70000000000000007" t="0.75000000000000011" header="0.30000000000000004" footer="0.30000000000000004"/>
    <c:pageSetup paperSize="258" orientation="portrait"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CL"/>
  <c:style val="37"/>
  <c:chart>
    <c:title>
      <c:tx>
        <c:rich>
          <a:bodyPr/>
          <a:lstStyle/>
          <a:p>
            <a:pPr>
              <a:defRPr/>
            </a:pPr>
            <a:r>
              <a:rPr lang="es-ES"/>
              <a:t>R.S.D</a:t>
            </a:r>
            <a:r>
              <a:rPr lang="es-ES" baseline="0"/>
              <a:t> GRAFICADO ENERO -DIC. 2014</a:t>
            </a:r>
            <a:endParaRPr lang="es-ES"/>
          </a:p>
        </c:rich>
      </c:tx>
    </c:title>
    <c:plotArea>
      <c:layout/>
      <c:barChart>
        <c:barDir val="col"/>
        <c:grouping val="clustered"/>
        <c:ser>
          <c:idx val="0"/>
          <c:order val="0"/>
          <c:tx>
            <c:strRef>
              <c:f>[1]RSD!$B$3</c:f>
              <c:strCache>
                <c:ptCount val="1"/>
                <c:pt idx="0">
                  <c:v>TON.</c:v>
                </c:pt>
              </c:strCache>
            </c:strRef>
          </c:tx>
          <c:cat>
            <c:strRef>
              <c:f>[1]RSD!$A$4:$A$15</c:f>
              <c:strCache>
                <c:ptCount val="12"/>
                <c:pt idx="0">
                  <c:v>ENE.</c:v>
                </c:pt>
                <c:pt idx="1">
                  <c:v>FEB.</c:v>
                </c:pt>
                <c:pt idx="2">
                  <c:v>MAR.</c:v>
                </c:pt>
                <c:pt idx="3">
                  <c:v>ABRIL</c:v>
                </c:pt>
                <c:pt idx="4">
                  <c:v>MAYO</c:v>
                </c:pt>
                <c:pt idx="5">
                  <c:v>JUNIO</c:v>
                </c:pt>
                <c:pt idx="6">
                  <c:v>JULIO </c:v>
                </c:pt>
                <c:pt idx="7">
                  <c:v>AGOS.</c:v>
                </c:pt>
                <c:pt idx="8">
                  <c:v>SEP.</c:v>
                </c:pt>
                <c:pt idx="9">
                  <c:v>OCT.</c:v>
                </c:pt>
                <c:pt idx="10">
                  <c:v>NOV.</c:v>
                </c:pt>
                <c:pt idx="11">
                  <c:v>DIC.</c:v>
                </c:pt>
              </c:strCache>
            </c:strRef>
          </c:cat>
          <c:val>
            <c:numRef>
              <c:f>[1]RSD!$B$4:$B$15</c:f>
              <c:numCache>
                <c:formatCode>General</c:formatCode>
                <c:ptCount val="12"/>
                <c:pt idx="0">
                  <c:v>4084.82</c:v>
                </c:pt>
                <c:pt idx="1">
                  <c:v>3408.37</c:v>
                </c:pt>
                <c:pt idx="2">
                  <c:v>3773.03</c:v>
                </c:pt>
                <c:pt idx="3">
                  <c:v>3513.77</c:v>
                </c:pt>
                <c:pt idx="4">
                  <c:v>3869.35</c:v>
                </c:pt>
                <c:pt idx="5">
                  <c:v>3162.97</c:v>
                </c:pt>
                <c:pt idx="6">
                  <c:v>3339.82</c:v>
                </c:pt>
                <c:pt idx="7">
                  <c:v>3372.36</c:v>
                </c:pt>
                <c:pt idx="8">
                  <c:v>3646.57</c:v>
                </c:pt>
                <c:pt idx="9">
                  <c:v>3776.49</c:v>
                </c:pt>
                <c:pt idx="10">
                  <c:v>3500</c:v>
                </c:pt>
                <c:pt idx="11">
                  <c:v>4072</c:v>
                </c:pt>
              </c:numCache>
            </c:numRef>
          </c:val>
        </c:ser>
        <c:ser>
          <c:idx val="1"/>
          <c:order val="1"/>
          <c:tx>
            <c:strRef>
              <c:f>[1]RSD!$C$3</c:f>
              <c:strCache>
                <c:ptCount val="1"/>
                <c:pt idx="0">
                  <c:v>Nº VIAJES</c:v>
                </c:pt>
              </c:strCache>
            </c:strRef>
          </c:tx>
          <c:cat>
            <c:strRef>
              <c:f>[1]RSD!$A$4:$A$15</c:f>
              <c:strCache>
                <c:ptCount val="12"/>
                <c:pt idx="0">
                  <c:v>ENE.</c:v>
                </c:pt>
                <c:pt idx="1">
                  <c:v>FEB.</c:v>
                </c:pt>
                <c:pt idx="2">
                  <c:v>MAR.</c:v>
                </c:pt>
                <c:pt idx="3">
                  <c:v>ABRIL</c:v>
                </c:pt>
                <c:pt idx="4">
                  <c:v>MAYO</c:v>
                </c:pt>
                <c:pt idx="5">
                  <c:v>JUNIO</c:v>
                </c:pt>
                <c:pt idx="6">
                  <c:v>JULIO </c:v>
                </c:pt>
                <c:pt idx="7">
                  <c:v>AGOS.</c:v>
                </c:pt>
                <c:pt idx="8">
                  <c:v>SEP.</c:v>
                </c:pt>
                <c:pt idx="9">
                  <c:v>OCT.</c:v>
                </c:pt>
                <c:pt idx="10">
                  <c:v>NOV.</c:v>
                </c:pt>
                <c:pt idx="11">
                  <c:v>DIC.</c:v>
                </c:pt>
              </c:strCache>
            </c:strRef>
          </c:cat>
          <c:val>
            <c:numRef>
              <c:f>[1]RSD!$C$4:$C$15</c:f>
              <c:numCache>
                <c:formatCode>General</c:formatCode>
                <c:ptCount val="12"/>
                <c:pt idx="0">
                  <c:v>572</c:v>
                </c:pt>
                <c:pt idx="1">
                  <c:v>491</c:v>
                </c:pt>
                <c:pt idx="2">
                  <c:v>554</c:v>
                </c:pt>
                <c:pt idx="3">
                  <c:v>524</c:v>
                </c:pt>
                <c:pt idx="4">
                  <c:v>534</c:v>
                </c:pt>
                <c:pt idx="5">
                  <c:v>466</c:v>
                </c:pt>
                <c:pt idx="6">
                  <c:v>502</c:v>
                </c:pt>
                <c:pt idx="7">
                  <c:v>511</c:v>
                </c:pt>
                <c:pt idx="8">
                  <c:v>506</c:v>
                </c:pt>
                <c:pt idx="9">
                  <c:v>539</c:v>
                </c:pt>
                <c:pt idx="10">
                  <c:v>516</c:v>
                </c:pt>
                <c:pt idx="11">
                  <c:v>588</c:v>
                </c:pt>
              </c:numCache>
            </c:numRef>
          </c:val>
        </c:ser>
        <c:dLbls/>
        <c:axId val="107397504"/>
        <c:axId val="107399040"/>
      </c:barChart>
      <c:catAx>
        <c:axId val="107397504"/>
        <c:scaling>
          <c:orientation val="minMax"/>
        </c:scaling>
        <c:axPos val="b"/>
        <c:majorTickMark val="none"/>
        <c:tickLblPos val="nextTo"/>
        <c:crossAx val="107399040"/>
        <c:crosses val="autoZero"/>
        <c:auto val="1"/>
        <c:lblAlgn val="ctr"/>
        <c:lblOffset val="100"/>
      </c:catAx>
      <c:valAx>
        <c:axId val="107399040"/>
        <c:scaling>
          <c:orientation val="minMax"/>
        </c:scaling>
        <c:axPos val="l"/>
        <c:majorGridlines/>
        <c:numFmt formatCode="General" sourceLinked="1"/>
        <c:majorTickMark val="none"/>
        <c:tickLblPos val="nextTo"/>
        <c:crossAx val="107397504"/>
        <c:crosses val="autoZero"/>
        <c:crossBetween val="between"/>
      </c:valAx>
      <c:dTable>
        <c:showHorzBorder val="1"/>
        <c:showVertBorder val="1"/>
        <c:showOutline val="1"/>
        <c:showKeys val="1"/>
      </c:dTable>
    </c:plotArea>
    <c:plotVisOnly val="1"/>
    <c:dispBlanksAs val="gap"/>
  </c:chart>
  <c:printSettings>
    <c:headerFooter/>
    <c:pageMargins b="0.75000000000000011" l="0.25" r="0.25" t="0.75000000000000011" header="0.30000000000000004" footer="0.30000000000000004"/>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CL"/>
  <c:style val="37"/>
  <c:chart>
    <c:title>
      <c:tx>
        <c:rich>
          <a:bodyPr/>
          <a:lstStyle/>
          <a:p>
            <a:pPr>
              <a:defRPr/>
            </a:pPr>
            <a:r>
              <a:rPr lang="es-ES"/>
              <a:t>AMPLIROLL RSD, RETIRO VOLUMINOSO</a:t>
            </a:r>
          </a:p>
        </c:rich>
      </c:tx>
    </c:title>
    <c:plotArea>
      <c:layout>
        <c:manualLayout>
          <c:layoutTarget val="inner"/>
          <c:xMode val="edge"/>
          <c:yMode val="edge"/>
          <c:x val="0.15256552495479278"/>
          <c:y val="0.10384671277545948"/>
          <c:w val="0.83084556887620764"/>
          <c:h val="0.60861480538988877"/>
        </c:manualLayout>
      </c:layout>
      <c:barChart>
        <c:barDir val="col"/>
        <c:grouping val="clustered"/>
        <c:ser>
          <c:idx val="0"/>
          <c:order val="0"/>
          <c:tx>
            <c:strRef>
              <c:f>'[1]AMPLIROLL RSD'!$B$3</c:f>
              <c:strCache>
                <c:ptCount val="1"/>
                <c:pt idx="0">
                  <c:v>TON.</c:v>
                </c:pt>
              </c:strCache>
            </c:strRef>
          </c:tx>
          <c:cat>
            <c:strRef>
              <c:f>'[1]AMPLIROLL RSD'!$A$4:$A$15</c:f>
              <c:strCache>
                <c:ptCount val="12"/>
                <c:pt idx="0">
                  <c:v>ENE.</c:v>
                </c:pt>
                <c:pt idx="1">
                  <c:v>FEB.</c:v>
                </c:pt>
                <c:pt idx="2">
                  <c:v>MAR.</c:v>
                </c:pt>
                <c:pt idx="3">
                  <c:v>ABRIL</c:v>
                </c:pt>
                <c:pt idx="4">
                  <c:v>MAYO</c:v>
                </c:pt>
                <c:pt idx="5">
                  <c:v>JUNIO</c:v>
                </c:pt>
                <c:pt idx="6">
                  <c:v>JULIO </c:v>
                </c:pt>
                <c:pt idx="7">
                  <c:v>AGOS.</c:v>
                </c:pt>
                <c:pt idx="8">
                  <c:v>SEP.</c:v>
                </c:pt>
                <c:pt idx="9">
                  <c:v>OCT.</c:v>
                </c:pt>
                <c:pt idx="10">
                  <c:v>NOV.</c:v>
                </c:pt>
                <c:pt idx="11">
                  <c:v>DIC.</c:v>
                </c:pt>
              </c:strCache>
            </c:strRef>
          </c:cat>
          <c:val>
            <c:numRef>
              <c:f>'[1]AMPLIROLL RSD'!$B$4:$B$15</c:f>
              <c:numCache>
                <c:formatCode>General</c:formatCode>
                <c:ptCount val="12"/>
                <c:pt idx="0">
                  <c:v>765.84</c:v>
                </c:pt>
                <c:pt idx="1">
                  <c:v>657.29</c:v>
                </c:pt>
                <c:pt idx="2">
                  <c:v>660.59</c:v>
                </c:pt>
                <c:pt idx="3">
                  <c:v>702.27</c:v>
                </c:pt>
                <c:pt idx="4">
                  <c:v>739.55</c:v>
                </c:pt>
                <c:pt idx="5">
                  <c:v>436.11</c:v>
                </c:pt>
                <c:pt idx="6">
                  <c:v>513.65</c:v>
                </c:pt>
                <c:pt idx="7">
                  <c:v>537.42999999999995</c:v>
                </c:pt>
                <c:pt idx="8">
                  <c:v>506.81</c:v>
                </c:pt>
                <c:pt idx="9">
                  <c:v>507.13</c:v>
                </c:pt>
                <c:pt idx="10">
                  <c:v>671</c:v>
                </c:pt>
                <c:pt idx="11">
                  <c:v>582.09</c:v>
                </c:pt>
              </c:numCache>
            </c:numRef>
          </c:val>
        </c:ser>
        <c:ser>
          <c:idx val="1"/>
          <c:order val="1"/>
          <c:tx>
            <c:strRef>
              <c:f>'[1]AMPLIROLL RSD'!$C$3</c:f>
              <c:strCache>
                <c:ptCount val="1"/>
                <c:pt idx="0">
                  <c:v>Nº VIAJES</c:v>
                </c:pt>
              </c:strCache>
            </c:strRef>
          </c:tx>
          <c:cat>
            <c:strRef>
              <c:f>'[1]AMPLIROLL RSD'!$A$4:$A$15</c:f>
              <c:strCache>
                <c:ptCount val="12"/>
                <c:pt idx="0">
                  <c:v>ENE.</c:v>
                </c:pt>
                <c:pt idx="1">
                  <c:v>FEB.</c:v>
                </c:pt>
                <c:pt idx="2">
                  <c:v>MAR.</c:v>
                </c:pt>
                <c:pt idx="3">
                  <c:v>ABRIL</c:v>
                </c:pt>
                <c:pt idx="4">
                  <c:v>MAYO</c:v>
                </c:pt>
                <c:pt idx="5">
                  <c:v>JUNIO</c:v>
                </c:pt>
                <c:pt idx="6">
                  <c:v>JULIO </c:v>
                </c:pt>
                <c:pt idx="7">
                  <c:v>AGOS.</c:v>
                </c:pt>
                <c:pt idx="8">
                  <c:v>SEP.</c:v>
                </c:pt>
                <c:pt idx="9">
                  <c:v>OCT.</c:v>
                </c:pt>
                <c:pt idx="10">
                  <c:v>NOV.</c:v>
                </c:pt>
                <c:pt idx="11">
                  <c:v>DIC.</c:v>
                </c:pt>
              </c:strCache>
            </c:strRef>
          </c:cat>
          <c:val>
            <c:numRef>
              <c:f>'[1]AMPLIROLL RSD'!$C$4:$C$15</c:f>
              <c:numCache>
                <c:formatCode>General</c:formatCode>
                <c:ptCount val="12"/>
                <c:pt idx="0">
                  <c:v>177</c:v>
                </c:pt>
                <c:pt idx="1">
                  <c:v>151</c:v>
                </c:pt>
                <c:pt idx="2">
                  <c:v>163</c:v>
                </c:pt>
                <c:pt idx="3">
                  <c:v>165</c:v>
                </c:pt>
                <c:pt idx="4">
                  <c:v>175</c:v>
                </c:pt>
                <c:pt idx="5">
                  <c:v>134</c:v>
                </c:pt>
                <c:pt idx="6">
                  <c:v>163</c:v>
                </c:pt>
                <c:pt idx="7">
                  <c:v>132</c:v>
                </c:pt>
                <c:pt idx="8">
                  <c:v>131</c:v>
                </c:pt>
                <c:pt idx="9">
                  <c:v>136</c:v>
                </c:pt>
                <c:pt idx="10">
                  <c:v>166</c:v>
                </c:pt>
                <c:pt idx="11">
                  <c:v>151</c:v>
                </c:pt>
              </c:numCache>
            </c:numRef>
          </c:val>
        </c:ser>
        <c:dLbls/>
        <c:axId val="107622784"/>
        <c:axId val="107624320"/>
      </c:barChart>
      <c:catAx>
        <c:axId val="107622784"/>
        <c:scaling>
          <c:orientation val="minMax"/>
        </c:scaling>
        <c:axPos val="b"/>
        <c:majorTickMark val="none"/>
        <c:tickLblPos val="nextTo"/>
        <c:crossAx val="107624320"/>
        <c:crosses val="autoZero"/>
        <c:auto val="1"/>
        <c:lblAlgn val="ctr"/>
        <c:lblOffset val="100"/>
      </c:catAx>
      <c:valAx>
        <c:axId val="107624320"/>
        <c:scaling>
          <c:orientation val="minMax"/>
        </c:scaling>
        <c:axPos val="l"/>
        <c:majorGridlines/>
        <c:title/>
        <c:numFmt formatCode="General" sourceLinked="1"/>
        <c:majorTickMark val="none"/>
        <c:tickLblPos val="nextTo"/>
        <c:crossAx val="107622784"/>
        <c:crosses val="autoZero"/>
        <c:crossBetween val="between"/>
      </c:valAx>
      <c:dTable>
        <c:showHorzBorder val="1"/>
        <c:showVertBorder val="1"/>
        <c:showOutline val="1"/>
        <c:showKeys val="1"/>
      </c:dTable>
    </c:plotArea>
    <c:plotVisOnly val="1"/>
    <c:dispBlanksAs val="gap"/>
  </c:chart>
  <c:printSettings>
    <c:headerFooter/>
    <c:pageMargins b="0.75000000000000011" l="0.70000000000000007" r="0.70000000000000007" t="0.75000000000000011" header="0.30000000000000004" footer="0.30000000000000004"/>
    <c:pageSetup orientation="portrait"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CL"/>
  <c:style val="37"/>
  <c:chart>
    <c:title>
      <c:tx>
        <c:rich>
          <a:bodyPr/>
          <a:lstStyle/>
          <a:p>
            <a:pPr>
              <a:defRPr/>
            </a:pPr>
            <a:r>
              <a:rPr lang="es-ES"/>
              <a:t>AMPLIROLL ARRENDADO (RETIRO VOLUMINOSO)</a:t>
            </a:r>
          </a:p>
        </c:rich>
      </c:tx>
      <c:layout>
        <c:manualLayout>
          <c:xMode val="edge"/>
          <c:yMode val="edge"/>
          <c:x val="0.28264353525682245"/>
          <c:y val="4.438279520164904E-2"/>
        </c:manualLayout>
      </c:layout>
    </c:title>
    <c:plotArea>
      <c:layout/>
      <c:barChart>
        <c:barDir val="col"/>
        <c:grouping val="clustered"/>
        <c:ser>
          <c:idx val="0"/>
          <c:order val="0"/>
          <c:tx>
            <c:strRef>
              <c:f>'[1]AMPLIROLL ARRENDADO'!$B$3</c:f>
              <c:strCache>
                <c:ptCount val="1"/>
                <c:pt idx="0">
                  <c:v>TON.</c:v>
                </c:pt>
              </c:strCache>
            </c:strRef>
          </c:tx>
          <c:cat>
            <c:strRef>
              <c:f>'[1]AMPLIROLL ARRENDADO'!$A$4:$A$13</c:f>
              <c:strCache>
                <c:ptCount val="10"/>
                <c:pt idx="0">
                  <c:v>ENE.</c:v>
                </c:pt>
                <c:pt idx="1">
                  <c:v>FEB.</c:v>
                </c:pt>
                <c:pt idx="2">
                  <c:v>MAR.</c:v>
                </c:pt>
                <c:pt idx="3">
                  <c:v>ABRIL</c:v>
                </c:pt>
                <c:pt idx="4">
                  <c:v>MAYO</c:v>
                </c:pt>
                <c:pt idx="5">
                  <c:v>JUNIO</c:v>
                </c:pt>
                <c:pt idx="6">
                  <c:v>JULIO </c:v>
                </c:pt>
                <c:pt idx="7">
                  <c:v>AGOS.</c:v>
                </c:pt>
                <c:pt idx="8">
                  <c:v>SEP.</c:v>
                </c:pt>
                <c:pt idx="9">
                  <c:v>OCT.</c:v>
                </c:pt>
              </c:strCache>
            </c:strRef>
          </c:cat>
          <c:val>
            <c:numRef>
              <c:f>'[1]AMPLIROLL ARRENDADO'!$B$4:$B$13</c:f>
              <c:numCache>
                <c:formatCode>General</c:formatCode>
                <c:ptCount val="10"/>
                <c:pt idx="0">
                  <c:v>628.44000000000005</c:v>
                </c:pt>
                <c:pt idx="1">
                  <c:v>425.29</c:v>
                </c:pt>
                <c:pt idx="2">
                  <c:v>652.51</c:v>
                </c:pt>
                <c:pt idx="3">
                  <c:v>296.89</c:v>
                </c:pt>
                <c:pt idx="4">
                  <c:v>538.03</c:v>
                </c:pt>
                <c:pt idx="5">
                  <c:v>365.41</c:v>
                </c:pt>
                <c:pt idx="6">
                  <c:v>399.59</c:v>
                </c:pt>
                <c:pt idx="7">
                  <c:v>470.77</c:v>
                </c:pt>
                <c:pt idx="8">
                  <c:v>298.72000000000003</c:v>
                </c:pt>
                <c:pt idx="9">
                  <c:v>292.89999999999998</c:v>
                </c:pt>
              </c:numCache>
            </c:numRef>
          </c:val>
        </c:ser>
        <c:ser>
          <c:idx val="1"/>
          <c:order val="1"/>
          <c:tx>
            <c:strRef>
              <c:f>'[1]AMPLIROLL ARRENDADO'!$C$3</c:f>
              <c:strCache>
                <c:ptCount val="1"/>
                <c:pt idx="0">
                  <c:v>Nº VIAJES</c:v>
                </c:pt>
              </c:strCache>
            </c:strRef>
          </c:tx>
          <c:cat>
            <c:strRef>
              <c:f>'[1]AMPLIROLL ARRENDADO'!$A$4:$A$13</c:f>
              <c:strCache>
                <c:ptCount val="10"/>
                <c:pt idx="0">
                  <c:v>ENE.</c:v>
                </c:pt>
                <c:pt idx="1">
                  <c:v>FEB.</c:v>
                </c:pt>
                <c:pt idx="2">
                  <c:v>MAR.</c:v>
                </c:pt>
                <c:pt idx="3">
                  <c:v>ABRIL</c:v>
                </c:pt>
                <c:pt idx="4">
                  <c:v>MAYO</c:v>
                </c:pt>
                <c:pt idx="5">
                  <c:v>JUNIO</c:v>
                </c:pt>
                <c:pt idx="6">
                  <c:v>JULIO </c:v>
                </c:pt>
                <c:pt idx="7">
                  <c:v>AGOS.</c:v>
                </c:pt>
                <c:pt idx="8">
                  <c:v>SEP.</c:v>
                </c:pt>
                <c:pt idx="9">
                  <c:v>OCT.</c:v>
                </c:pt>
              </c:strCache>
            </c:strRef>
          </c:cat>
          <c:val>
            <c:numRef>
              <c:f>'[1]AMPLIROLL ARRENDADO'!$C$4:$C$13</c:f>
              <c:numCache>
                <c:formatCode>General</c:formatCode>
                <c:ptCount val="10"/>
                <c:pt idx="0">
                  <c:v>172</c:v>
                </c:pt>
                <c:pt idx="1">
                  <c:v>143</c:v>
                </c:pt>
                <c:pt idx="2">
                  <c:v>180</c:v>
                </c:pt>
                <c:pt idx="3">
                  <c:v>115</c:v>
                </c:pt>
                <c:pt idx="4">
                  <c:v>143</c:v>
                </c:pt>
                <c:pt idx="5">
                  <c:v>115</c:v>
                </c:pt>
                <c:pt idx="6">
                  <c:v>132</c:v>
                </c:pt>
                <c:pt idx="7">
                  <c:v>126</c:v>
                </c:pt>
                <c:pt idx="8">
                  <c:v>88</c:v>
                </c:pt>
                <c:pt idx="9">
                  <c:v>104</c:v>
                </c:pt>
              </c:numCache>
            </c:numRef>
          </c:val>
        </c:ser>
        <c:dLbls/>
        <c:axId val="107545344"/>
        <c:axId val="107546880"/>
      </c:barChart>
      <c:catAx>
        <c:axId val="107545344"/>
        <c:scaling>
          <c:orientation val="minMax"/>
        </c:scaling>
        <c:axPos val="b"/>
        <c:majorTickMark val="none"/>
        <c:tickLblPos val="nextTo"/>
        <c:crossAx val="107546880"/>
        <c:crosses val="autoZero"/>
        <c:auto val="1"/>
        <c:lblAlgn val="ctr"/>
        <c:lblOffset val="100"/>
      </c:catAx>
      <c:valAx>
        <c:axId val="107546880"/>
        <c:scaling>
          <c:orientation val="minMax"/>
        </c:scaling>
        <c:axPos val="l"/>
        <c:majorGridlines/>
        <c:title/>
        <c:numFmt formatCode="General" sourceLinked="1"/>
        <c:majorTickMark val="none"/>
        <c:tickLblPos val="nextTo"/>
        <c:crossAx val="107545344"/>
        <c:crosses val="autoZero"/>
        <c:crossBetween val="between"/>
      </c:valAx>
      <c:dTable>
        <c:showHorzBorder val="1"/>
        <c:showVertBorder val="1"/>
        <c:showOutline val="1"/>
        <c:showKeys val="1"/>
      </c:dTable>
    </c:plotArea>
    <c:plotVisOnly val="1"/>
    <c:dispBlanksAs val="gap"/>
  </c:chart>
  <c:printSettings>
    <c:headerFooter/>
    <c:pageMargins b="0.75000000000000011" l="0.70000000000000007" r="0.70000000000000007" t="0.75000000000000011" header="0.30000000000000004" footer="0.30000000000000004"/>
    <c:pageSetup paperSize="258"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CL"/>
  <c:style val="37"/>
  <c:chart>
    <c:title>
      <c:tx>
        <c:rich>
          <a:bodyPr/>
          <a:lstStyle/>
          <a:p>
            <a:pPr>
              <a:defRPr/>
            </a:pPr>
            <a:r>
              <a:rPr lang="es-ES"/>
              <a:t>RESIDUOS AREAS VERDES </a:t>
            </a:r>
          </a:p>
          <a:p>
            <a:pPr>
              <a:defRPr/>
            </a:pPr>
            <a:r>
              <a:rPr lang="es-ES"/>
              <a:t>HMP</a:t>
            </a:r>
          </a:p>
          <a:p>
            <a:pPr>
              <a:defRPr/>
            </a:pPr>
            <a:endParaRPr lang="es-ES"/>
          </a:p>
        </c:rich>
      </c:tx>
    </c:title>
    <c:plotArea>
      <c:layout/>
      <c:barChart>
        <c:barDir val="col"/>
        <c:grouping val="clustered"/>
        <c:ser>
          <c:idx val="0"/>
          <c:order val="0"/>
          <c:tx>
            <c:strRef>
              <c:f>'[1]AREAS VERDES HMP'!$B$3</c:f>
              <c:strCache>
                <c:ptCount val="1"/>
                <c:pt idx="0">
                  <c:v>TON.</c:v>
                </c:pt>
              </c:strCache>
            </c:strRef>
          </c:tx>
          <c:cat>
            <c:strRef>
              <c:f>'[1]AREAS VERDES HMP'!$A$4:$A$10</c:f>
              <c:strCache>
                <c:ptCount val="7"/>
                <c:pt idx="0">
                  <c:v>ENE.</c:v>
                </c:pt>
                <c:pt idx="1">
                  <c:v>FEB.</c:v>
                </c:pt>
                <c:pt idx="2">
                  <c:v>MAR.</c:v>
                </c:pt>
                <c:pt idx="3">
                  <c:v>ABRIL</c:v>
                </c:pt>
                <c:pt idx="4">
                  <c:v>MAYO</c:v>
                </c:pt>
                <c:pt idx="5">
                  <c:v>JUNIO</c:v>
                </c:pt>
                <c:pt idx="6">
                  <c:v>JULIO </c:v>
                </c:pt>
              </c:strCache>
            </c:strRef>
          </c:cat>
          <c:val>
            <c:numRef>
              <c:f>'[1]AREAS VERDES HMP'!$B$4:$B$10</c:f>
              <c:numCache>
                <c:formatCode>General</c:formatCode>
                <c:ptCount val="7"/>
                <c:pt idx="0">
                  <c:v>15.52</c:v>
                </c:pt>
                <c:pt idx="1">
                  <c:v>9.1</c:v>
                </c:pt>
                <c:pt idx="2">
                  <c:v>13.8</c:v>
                </c:pt>
                <c:pt idx="3">
                  <c:v>5.6</c:v>
                </c:pt>
                <c:pt idx="4">
                  <c:v>9.77</c:v>
                </c:pt>
                <c:pt idx="5">
                  <c:v>12.26</c:v>
                </c:pt>
                <c:pt idx="6">
                  <c:v>3.59</c:v>
                </c:pt>
              </c:numCache>
            </c:numRef>
          </c:val>
        </c:ser>
        <c:ser>
          <c:idx val="1"/>
          <c:order val="1"/>
          <c:tx>
            <c:strRef>
              <c:f>'[1]AREAS VERDES HMP'!$C$3</c:f>
              <c:strCache>
                <c:ptCount val="1"/>
                <c:pt idx="0">
                  <c:v>Nº VIAJES</c:v>
                </c:pt>
              </c:strCache>
            </c:strRef>
          </c:tx>
          <c:cat>
            <c:strRef>
              <c:f>'[1]AREAS VERDES HMP'!$A$4:$A$10</c:f>
              <c:strCache>
                <c:ptCount val="7"/>
                <c:pt idx="0">
                  <c:v>ENE.</c:v>
                </c:pt>
                <c:pt idx="1">
                  <c:v>FEB.</c:v>
                </c:pt>
                <c:pt idx="2">
                  <c:v>MAR.</c:v>
                </c:pt>
                <c:pt idx="3">
                  <c:v>ABRIL</c:v>
                </c:pt>
                <c:pt idx="4">
                  <c:v>MAYO</c:v>
                </c:pt>
                <c:pt idx="5">
                  <c:v>JUNIO</c:v>
                </c:pt>
                <c:pt idx="6">
                  <c:v>JULIO </c:v>
                </c:pt>
              </c:strCache>
            </c:strRef>
          </c:cat>
          <c:val>
            <c:numRef>
              <c:f>'[1]AREAS VERDES HMP'!$C$4:$C$10</c:f>
              <c:numCache>
                <c:formatCode>General</c:formatCode>
                <c:ptCount val="7"/>
                <c:pt idx="0">
                  <c:v>17</c:v>
                </c:pt>
                <c:pt idx="1">
                  <c:v>11</c:v>
                </c:pt>
                <c:pt idx="2">
                  <c:v>15</c:v>
                </c:pt>
                <c:pt idx="3">
                  <c:v>6</c:v>
                </c:pt>
                <c:pt idx="4">
                  <c:v>10</c:v>
                </c:pt>
                <c:pt idx="5">
                  <c:v>13</c:v>
                </c:pt>
                <c:pt idx="6">
                  <c:v>4</c:v>
                </c:pt>
              </c:numCache>
            </c:numRef>
          </c:val>
        </c:ser>
        <c:dLbls/>
        <c:axId val="107590784"/>
        <c:axId val="107592320"/>
      </c:barChart>
      <c:catAx>
        <c:axId val="107590784"/>
        <c:scaling>
          <c:orientation val="minMax"/>
        </c:scaling>
        <c:axPos val="b"/>
        <c:majorTickMark val="none"/>
        <c:tickLblPos val="nextTo"/>
        <c:crossAx val="107592320"/>
        <c:crosses val="autoZero"/>
        <c:auto val="1"/>
        <c:lblAlgn val="ctr"/>
        <c:lblOffset val="100"/>
      </c:catAx>
      <c:valAx>
        <c:axId val="107592320"/>
        <c:scaling>
          <c:orientation val="minMax"/>
        </c:scaling>
        <c:axPos val="l"/>
        <c:majorGridlines/>
        <c:title/>
        <c:numFmt formatCode="General" sourceLinked="1"/>
        <c:majorTickMark val="none"/>
        <c:tickLblPos val="nextTo"/>
        <c:crossAx val="107590784"/>
        <c:crosses val="autoZero"/>
        <c:crossBetween val="between"/>
      </c:valAx>
      <c:dTable>
        <c:showHorzBorder val="1"/>
        <c:showVertBorder val="1"/>
        <c:showOutline val="1"/>
        <c:showKeys val="1"/>
      </c:dTable>
    </c:plotArea>
    <c:plotVisOnly val="1"/>
    <c:dispBlanksAs val="gap"/>
  </c:chart>
  <c:printSettings>
    <c:headerFooter/>
    <c:pageMargins b="0.75000000000000011" l="0.70000000000000007" r="0.70000000000000007" t="0.75000000000000011" header="0.30000000000000004" footer="0.30000000000000004"/>
    <c:pageSetup paperSize="258"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CL"/>
  <c:style val="37"/>
  <c:chart>
    <c:title>
      <c:tx>
        <c:rich>
          <a:bodyPr/>
          <a:lstStyle/>
          <a:p>
            <a:pPr>
              <a:defRPr/>
            </a:pPr>
            <a:r>
              <a:rPr lang="es-ES"/>
              <a:t>RESIDUOS AREAS VERDES</a:t>
            </a:r>
          </a:p>
          <a:p>
            <a:pPr>
              <a:defRPr/>
            </a:pPr>
            <a:r>
              <a:rPr lang="es-ES"/>
              <a:t>HIDROSYM</a:t>
            </a:r>
          </a:p>
        </c:rich>
      </c:tx>
    </c:title>
    <c:plotArea>
      <c:layout/>
      <c:barChart>
        <c:barDir val="col"/>
        <c:grouping val="clustered"/>
        <c:ser>
          <c:idx val="0"/>
          <c:order val="0"/>
          <c:tx>
            <c:strRef>
              <c:f>'[1]AREAS VERDES HIDROSYM'!$B$3</c:f>
              <c:strCache>
                <c:ptCount val="1"/>
                <c:pt idx="0">
                  <c:v>TON.</c:v>
                </c:pt>
              </c:strCache>
            </c:strRef>
          </c:tx>
          <c:cat>
            <c:strRef>
              <c:f>'[1]AREAS VERDES HIDROSYM'!$A$4:$A$22</c:f>
              <c:strCache>
                <c:ptCount val="19"/>
                <c:pt idx="0">
                  <c:v>ENE.</c:v>
                </c:pt>
                <c:pt idx="1">
                  <c:v>FEB.</c:v>
                </c:pt>
                <c:pt idx="2">
                  <c:v>MAR.</c:v>
                </c:pt>
                <c:pt idx="3">
                  <c:v>ABRIL</c:v>
                </c:pt>
                <c:pt idx="4">
                  <c:v>MAYO</c:v>
                </c:pt>
                <c:pt idx="5">
                  <c:v>JUNIO</c:v>
                </c:pt>
                <c:pt idx="6">
                  <c:v>JULIO </c:v>
                </c:pt>
                <c:pt idx="7">
                  <c:v>AGOS.</c:v>
                </c:pt>
                <c:pt idx="8">
                  <c:v>SEP.</c:v>
                </c:pt>
                <c:pt idx="9">
                  <c:v>OCT.</c:v>
                </c:pt>
                <c:pt idx="10">
                  <c:v>NOV.</c:v>
                </c:pt>
                <c:pt idx="11">
                  <c:v>DIC.</c:v>
                </c:pt>
                <c:pt idx="12">
                  <c:v>TOTAL </c:v>
                </c:pt>
                <c:pt idx="13">
                  <c:v>JULIO </c:v>
                </c:pt>
                <c:pt idx="14">
                  <c:v>AGOS.</c:v>
                </c:pt>
                <c:pt idx="15">
                  <c:v>SEPT.</c:v>
                </c:pt>
                <c:pt idx="16">
                  <c:v>OCT.</c:v>
                </c:pt>
                <c:pt idx="17">
                  <c:v>NOV.</c:v>
                </c:pt>
                <c:pt idx="18">
                  <c:v>DIC.</c:v>
                </c:pt>
              </c:strCache>
            </c:strRef>
          </c:cat>
          <c:val>
            <c:numRef>
              <c:f>'[1]AREAS VERDES HIDROSYM'!$B$4:$B$22</c:f>
              <c:numCache>
                <c:formatCode>General</c:formatCode>
                <c:ptCount val="19"/>
                <c:pt idx="0">
                  <c:v>14.28</c:v>
                </c:pt>
                <c:pt idx="1">
                  <c:v>26.65</c:v>
                </c:pt>
                <c:pt idx="2">
                  <c:v>47.03</c:v>
                </c:pt>
                <c:pt idx="3">
                  <c:v>61.58</c:v>
                </c:pt>
                <c:pt idx="4">
                  <c:v>64.45</c:v>
                </c:pt>
                <c:pt idx="5">
                  <c:v>78.16</c:v>
                </c:pt>
                <c:pt idx="12">
                  <c:v>292.14999999999998</c:v>
                </c:pt>
                <c:pt idx="13">
                  <c:v>65.489999999999995</c:v>
                </c:pt>
                <c:pt idx="14">
                  <c:v>46.71</c:v>
                </c:pt>
                <c:pt idx="15">
                  <c:v>81.81</c:v>
                </c:pt>
                <c:pt idx="16">
                  <c:v>101.39</c:v>
                </c:pt>
                <c:pt idx="17">
                  <c:v>147</c:v>
                </c:pt>
                <c:pt idx="18">
                  <c:v>14.837999999999999</c:v>
                </c:pt>
              </c:numCache>
            </c:numRef>
          </c:val>
        </c:ser>
        <c:ser>
          <c:idx val="1"/>
          <c:order val="1"/>
          <c:tx>
            <c:strRef>
              <c:f>'[1]AREAS VERDES HIDROSYM'!$C$3</c:f>
              <c:strCache>
                <c:ptCount val="1"/>
                <c:pt idx="0">
                  <c:v>Nº VIAJES</c:v>
                </c:pt>
              </c:strCache>
            </c:strRef>
          </c:tx>
          <c:cat>
            <c:strRef>
              <c:f>'[1]AREAS VERDES HIDROSYM'!$A$4:$A$22</c:f>
              <c:strCache>
                <c:ptCount val="19"/>
                <c:pt idx="0">
                  <c:v>ENE.</c:v>
                </c:pt>
                <c:pt idx="1">
                  <c:v>FEB.</c:v>
                </c:pt>
                <c:pt idx="2">
                  <c:v>MAR.</c:v>
                </c:pt>
                <c:pt idx="3">
                  <c:v>ABRIL</c:v>
                </c:pt>
                <c:pt idx="4">
                  <c:v>MAYO</c:v>
                </c:pt>
                <c:pt idx="5">
                  <c:v>JUNIO</c:v>
                </c:pt>
                <c:pt idx="6">
                  <c:v>JULIO </c:v>
                </c:pt>
                <c:pt idx="7">
                  <c:v>AGOS.</c:v>
                </c:pt>
                <c:pt idx="8">
                  <c:v>SEP.</c:v>
                </c:pt>
                <c:pt idx="9">
                  <c:v>OCT.</c:v>
                </c:pt>
                <c:pt idx="10">
                  <c:v>NOV.</c:v>
                </c:pt>
                <c:pt idx="11">
                  <c:v>DIC.</c:v>
                </c:pt>
                <c:pt idx="12">
                  <c:v>TOTAL </c:v>
                </c:pt>
                <c:pt idx="13">
                  <c:v>JULIO </c:v>
                </c:pt>
                <c:pt idx="14">
                  <c:v>AGOS.</c:v>
                </c:pt>
                <c:pt idx="15">
                  <c:v>SEPT.</c:v>
                </c:pt>
                <c:pt idx="16">
                  <c:v>OCT.</c:v>
                </c:pt>
                <c:pt idx="17">
                  <c:v>NOV.</c:v>
                </c:pt>
                <c:pt idx="18">
                  <c:v>DIC.</c:v>
                </c:pt>
              </c:strCache>
            </c:strRef>
          </c:cat>
          <c:val>
            <c:numRef>
              <c:f>'[1]AREAS VERDES HIDROSYM'!$C$4:$C$22</c:f>
              <c:numCache>
                <c:formatCode>General</c:formatCode>
                <c:ptCount val="19"/>
                <c:pt idx="0">
                  <c:v>12</c:v>
                </c:pt>
                <c:pt idx="1">
                  <c:v>16</c:v>
                </c:pt>
                <c:pt idx="2">
                  <c:v>26</c:v>
                </c:pt>
                <c:pt idx="3">
                  <c:v>46</c:v>
                </c:pt>
                <c:pt idx="4">
                  <c:v>65</c:v>
                </c:pt>
                <c:pt idx="5">
                  <c:v>52</c:v>
                </c:pt>
                <c:pt idx="12">
                  <c:v>217</c:v>
                </c:pt>
                <c:pt idx="13">
                  <c:v>37</c:v>
                </c:pt>
                <c:pt idx="14">
                  <c:v>31</c:v>
                </c:pt>
                <c:pt idx="15">
                  <c:v>33</c:v>
                </c:pt>
                <c:pt idx="16">
                  <c:v>58</c:v>
                </c:pt>
                <c:pt idx="17">
                  <c:v>65</c:v>
                </c:pt>
                <c:pt idx="18">
                  <c:v>76</c:v>
                </c:pt>
              </c:numCache>
            </c:numRef>
          </c:val>
        </c:ser>
        <c:dLbls/>
        <c:axId val="107709952"/>
        <c:axId val="107711488"/>
      </c:barChart>
      <c:catAx>
        <c:axId val="107709952"/>
        <c:scaling>
          <c:orientation val="minMax"/>
        </c:scaling>
        <c:axPos val="b"/>
        <c:majorTickMark val="none"/>
        <c:tickLblPos val="nextTo"/>
        <c:crossAx val="107711488"/>
        <c:crosses val="autoZero"/>
        <c:auto val="1"/>
        <c:lblAlgn val="ctr"/>
        <c:lblOffset val="100"/>
      </c:catAx>
      <c:valAx>
        <c:axId val="107711488"/>
        <c:scaling>
          <c:orientation val="minMax"/>
        </c:scaling>
        <c:axPos val="l"/>
        <c:majorGridlines/>
        <c:title/>
        <c:numFmt formatCode="General" sourceLinked="1"/>
        <c:majorTickMark val="none"/>
        <c:tickLblPos val="nextTo"/>
        <c:crossAx val="107709952"/>
        <c:crosses val="autoZero"/>
        <c:crossBetween val="between"/>
      </c:valAx>
      <c:dTable>
        <c:showHorzBorder val="1"/>
        <c:showVertBorder val="1"/>
        <c:showOutline val="1"/>
        <c:showKeys val="1"/>
      </c:dTable>
    </c:plotArea>
    <c:plotVisOnly val="1"/>
    <c:dispBlanksAs val="gap"/>
  </c:chart>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647699</xdr:colOff>
      <xdr:row>28</xdr:row>
      <xdr:rowOff>161925</xdr:rowOff>
    </xdr:from>
    <xdr:to>
      <xdr:col>11</xdr:col>
      <xdr:colOff>609600</xdr:colOff>
      <xdr:row>42</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581024</xdr:colOff>
      <xdr:row>51</xdr:row>
      <xdr:rowOff>23812</xdr:rowOff>
    </xdr:from>
    <xdr:to>
      <xdr:col>11</xdr:col>
      <xdr:colOff>285750</xdr:colOff>
      <xdr:row>63</xdr:row>
      <xdr:rowOff>161925</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742949</xdr:colOff>
      <xdr:row>76</xdr:row>
      <xdr:rowOff>4764</xdr:rowOff>
    </xdr:from>
    <xdr:to>
      <xdr:col>8</xdr:col>
      <xdr:colOff>581024</xdr:colOff>
      <xdr:row>90</xdr:row>
      <xdr:rowOff>180976</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9526</xdr:colOff>
      <xdr:row>95</xdr:row>
      <xdr:rowOff>57150</xdr:rowOff>
    </xdr:from>
    <xdr:to>
      <xdr:col>10</xdr:col>
      <xdr:colOff>695326</xdr:colOff>
      <xdr:row>109</xdr:row>
      <xdr:rowOff>19051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200025</xdr:colOff>
      <xdr:row>113</xdr:row>
      <xdr:rowOff>138112</xdr:rowOff>
    </xdr:from>
    <xdr:to>
      <xdr:col>12</xdr:col>
      <xdr:colOff>371475</xdr:colOff>
      <xdr:row>125</xdr:row>
      <xdr:rowOff>171451</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19050</xdr:colOff>
      <xdr:row>133</xdr:row>
      <xdr:rowOff>14287</xdr:rowOff>
    </xdr:from>
    <xdr:to>
      <xdr:col>11</xdr:col>
      <xdr:colOff>742950</xdr:colOff>
      <xdr:row>147</xdr:row>
      <xdr:rowOff>38100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752475</xdr:colOff>
      <xdr:row>153</xdr:row>
      <xdr:rowOff>176212</xdr:rowOff>
    </xdr:from>
    <xdr:to>
      <xdr:col>11</xdr:col>
      <xdr:colOff>704850</xdr:colOff>
      <xdr:row>174</xdr:row>
      <xdr:rowOff>76201</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tomic/AppData/Local/Microsoft/Windows/Temporary%20Internet%20Files/Content.Outlook/T5SQS3D3/Conchal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erias Libres"/>
      <sheetName val="Municipal"/>
      <sheetName val="RSD"/>
      <sheetName val="AMPLIROLL RSD"/>
      <sheetName val="AMPLIROLL ARRENDADO"/>
      <sheetName val="AREAS VERDES HMP"/>
      <sheetName val="AREAS VERDES HIDROSYM"/>
      <sheetName val="TOTAL TONELADAS MENSUAL"/>
      <sheetName val="COSTO MENSUAL"/>
    </sheetNames>
    <sheetDataSet>
      <sheetData sheetId="0">
        <row r="3">
          <cell r="B3" t="str">
            <v>TON.</v>
          </cell>
          <cell r="C3" t="str">
            <v>Nº VIAJES</v>
          </cell>
        </row>
        <row r="4">
          <cell r="A4" t="str">
            <v>ENE.</v>
          </cell>
          <cell r="B4">
            <v>302.10000000000002</v>
          </cell>
          <cell r="C4">
            <v>53</v>
          </cell>
        </row>
        <row r="5">
          <cell r="A5" t="str">
            <v>FEB.</v>
          </cell>
          <cell r="B5">
            <v>256.89999999999998</v>
          </cell>
          <cell r="C5">
            <v>48</v>
          </cell>
        </row>
        <row r="6">
          <cell r="A6" t="str">
            <v>MAR.</v>
          </cell>
          <cell r="B6">
            <v>282.57</v>
          </cell>
          <cell r="C6">
            <v>50</v>
          </cell>
        </row>
        <row r="7">
          <cell r="A7" t="str">
            <v>ABRIL</v>
          </cell>
          <cell r="B7">
            <v>289.52</v>
          </cell>
          <cell r="C7">
            <v>50</v>
          </cell>
        </row>
        <row r="8">
          <cell r="A8" t="str">
            <v>MAYO</v>
          </cell>
          <cell r="B8">
            <v>310.58999999999997</v>
          </cell>
          <cell r="C8">
            <v>52</v>
          </cell>
        </row>
        <row r="9">
          <cell r="A9" t="str">
            <v>JUNIO</v>
          </cell>
          <cell r="B9">
            <v>330.76</v>
          </cell>
          <cell r="C9">
            <v>50</v>
          </cell>
        </row>
        <row r="10">
          <cell r="A10" t="str">
            <v xml:space="preserve">JULIO </v>
          </cell>
          <cell r="B10">
            <v>330.72</v>
          </cell>
          <cell r="C10">
            <v>52</v>
          </cell>
        </row>
        <row r="11">
          <cell r="A11" t="str">
            <v>AGOS.</v>
          </cell>
          <cell r="B11">
            <v>322.51</v>
          </cell>
          <cell r="C11">
            <v>51</v>
          </cell>
        </row>
        <row r="12">
          <cell r="A12" t="str">
            <v>SEP.</v>
          </cell>
          <cell r="B12">
            <v>285.67</v>
          </cell>
          <cell r="C12">
            <v>48</v>
          </cell>
        </row>
        <row r="13">
          <cell r="A13" t="str">
            <v>OCT.</v>
          </cell>
          <cell r="B13">
            <v>347.14</v>
          </cell>
          <cell r="C13">
            <v>52</v>
          </cell>
        </row>
        <row r="14">
          <cell r="A14" t="str">
            <v>NOV.</v>
          </cell>
          <cell r="B14">
            <v>275</v>
          </cell>
          <cell r="C14">
            <v>50</v>
          </cell>
        </row>
        <row r="15">
          <cell r="A15" t="str">
            <v>DIC.</v>
          </cell>
          <cell r="B15">
            <v>309.87</v>
          </cell>
          <cell r="C15">
            <v>50</v>
          </cell>
        </row>
      </sheetData>
      <sheetData sheetId="1">
        <row r="3">
          <cell r="B3" t="str">
            <v>TON.</v>
          </cell>
          <cell r="C3" t="str">
            <v>Nº VIAJES</v>
          </cell>
        </row>
        <row r="4">
          <cell r="A4" t="str">
            <v>ENE.</v>
          </cell>
          <cell r="B4">
            <v>276.08999999999997</v>
          </cell>
          <cell r="C4">
            <v>85</v>
          </cell>
        </row>
        <row r="5">
          <cell r="A5" t="str">
            <v>FEB.</v>
          </cell>
          <cell r="B5">
            <v>58.87</v>
          </cell>
          <cell r="C5">
            <v>23</v>
          </cell>
        </row>
        <row r="6">
          <cell r="A6" t="str">
            <v>MAR.</v>
          </cell>
          <cell r="B6">
            <v>341.28</v>
          </cell>
          <cell r="C6">
            <v>116</v>
          </cell>
        </row>
        <row r="7">
          <cell r="A7" t="str">
            <v>ABRIL</v>
          </cell>
          <cell r="B7">
            <v>298.72000000000003</v>
          </cell>
          <cell r="C7">
            <v>121</v>
          </cell>
        </row>
        <row r="8">
          <cell r="A8" t="str">
            <v>MAYO</v>
          </cell>
          <cell r="B8">
            <v>312.86</v>
          </cell>
          <cell r="C8">
            <v>116</v>
          </cell>
        </row>
        <row r="9">
          <cell r="A9" t="str">
            <v>JUNIO</v>
          </cell>
          <cell r="B9">
            <v>366.97</v>
          </cell>
          <cell r="C9">
            <v>120</v>
          </cell>
        </row>
        <row r="10">
          <cell r="A10" t="str">
            <v xml:space="preserve">JULIO </v>
          </cell>
          <cell r="B10">
            <v>222.6</v>
          </cell>
          <cell r="C10">
            <v>89</v>
          </cell>
        </row>
        <row r="11">
          <cell r="A11" t="str">
            <v>AGOS.</v>
          </cell>
          <cell r="B11">
            <v>211.82</v>
          </cell>
          <cell r="C11">
            <v>94</v>
          </cell>
        </row>
        <row r="12">
          <cell r="A12" t="str">
            <v>SEP.</v>
          </cell>
          <cell r="B12">
            <v>248.65</v>
          </cell>
          <cell r="C12">
            <v>97</v>
          </cell>
        </row>
        <row r="13">
          <cell r="A13" t="str">
            <v>OCT.</v>
          </cell>
          <cell r="B13">
            <v>473.63</v>
          </cell>
          <cell r="C13">
            <v>140</v>
          </cell>
        </row>
        <row r="14">
          <cell r="A14" t="str">
            <v>NOV.</v>
          </cell>
          <cell r="B14">
            <v>649</v>
          </cell>
          <cell r="C14">
            <v>218</v>
          </cell>
        </row>
        <row r="15">
          <cell r="A15" t="str">
            <v>DIC.</v>
          </cell>
          <cell r="B15">
            <v>647.70000000000005</v>
          </cell>
          <cell r="C15">
            <v>206</v>
          </cell>
        </row>
        <row r="16">
          <cell r="C16">
            <v>1425</v>
          </cell>
        </row>
      </sheetData>
      <sheetData sheetId="2">
        <row r="3">
          <cell r="B3" t="str">
            <v>TON.</v>
          </cell>
          <cell r="C3" t="str">
            <v>Nº VIAJES</v>
          </cell>
        </row>
        <row r="4">
          <cell r="A4" t="str">
            <v>ENE.</v>
          </cell>
          <cell r="B4">
            <v>4084.82</v>
          </cell>
          <cell r="C4">
            <v>572</v>
          </cell>
        </row>
        <row r="5">
          <cell r="A5" t="str">
            <v>FEB.</v>
          </cell>
          <cell r="B5">
            <v>3408.37</v>
          </cell>
          <cell r="C5">
            <v>491</v>
          </cell>
        </row>
        <row r="6">
          <cell r="A6" t="str">
            <v>MAR.</v>
          </cell>
          <cell r="B6">
            <v>3773.03</v>
          </cell>
          <cell r="C6">
            <v>554</v>
          </cell>
        </row>
        <row r="7">
          <cell r="A7" t="str">
            <v>ABRIL</v>
          </cell>
          <cell r="B7">
            <v>3513.77</v>
          </cell>
          <cell r="C7">
            <v>524</v>
          </cell>
        </row>
        <row r="8">
          <cell r="A8" t="str">
            <v>MAYO</v>
          </cell>
          <cell r="B8">
            <v>3869.35</v>
          </cell>
          <cell r="C8">
            <v>534</v>
          </cell>
        </row>
        <row r="9">
          <cell r="A9" t="str">
            <v>JUNIO</v>
          </cell>
          <cell r="B9">
            <v>3162.97</v>
          </cell>
          <cell r="C9">
            <v>466</v>
          </cell>
        </row>
        <row r="10">
          <cell r="A10" t="str">
            <v xml:space="preserve">JULIO </v>
          </cell>
          <cell r="B10">
            <v>3339.82</v>
          </cell>
          <cell r="C10">
            <v>502</v>
          </cell>
        </row>
        <row r="11">
          <cell r="A11" t="str">
            <v>AGOS.</v>
          </cell>
          <cell r="B11">
            <v>3372.36</v>
          </cell>
          <cell r="C11">
            <v>511</v>
          </cell>
        </row>
        <row r="12">
          <cell r="A12" t="str">
            <v>SEP.</v>
          </cell>
          <cell r="B12">
            <v>3646.57</v>
          </cell>
          <cell r="C12">
            <v>506</v>
          </cell>
        </row>
        <row r="13">
          <cell r="A13" t="str">
            <v>OCT.</v>
          </cell>
          <cell r="B13">
            <v>3776.49</v>
          </cell>
          <cell r="C13">
            <v>539</v>
          </cell>
        </row>
        <row r="14">
          <cell r="A14" t="str">
            <v>NOV.</v>
          </cell>
          <cell r="B14">
            <v>3500</v>
          </cell>
          <cell r="C14">
            <v>516</v>
          </cell>
        </row>
        <row r="15">
          <cell r="A15" t="str">
            <v>DIC.</v>
          </cell>
          <cell r="B15">
            <v>4072</v>
          </cell>
          <cell r="C15">
            <v>588</v>
          </cell>
        </row>
      </sheetData>
      <sheetData sheetId="3">
        <row r="3">
          <cell r="B3" t="str">
            <v>TON.</v>
          </cell>
          <cell r="C3" t="str">
            <v>Nº VIAJES</v>
          </cell>
        </row>
        <row r="4">
          <cell r="A4" t="str">
            <v>ENE.</v>
          </cell>
          <cell r="B4">
            <v>765.84</v>
          </cell>
          <cell r="C4">
            <v>177</v>
          </cell>
        </row>
        <row r="5">
          <cell r="A5" t="str">
            <v>FEB.</v>
          </cell>
          <cell r="B5">
            <v>657.29</v>
          </cell>
          <cell r="C5">
            <v>151</v>
          </cell>
        </row>
        <row r="6">
          <cell r="A6" t="str">
            <v>MAR.</v>
          </cell>
          <cell r="B6">
            <v>660.59</v>
          </cell>
          <cell r="C6">
            <v>163</v>
          </cell>
        </row>
        <row r="7">
          <cell r="A7" t="str">
            <v>ABRIL</v>
          </cell>
          <cell r="B7">
            <v>702.27</v>
          </cell>
          <cell r="C7">
            <v>165</v>
          </cell>
        </row>
        <row r="8">
          <cell r="A8" t="str">
            <v>MAYO</v>
          </cell>
          <cell r="B8">
            <v>739.55</v>
          </cell>
          <cell r="C8">
            <v>175</v>
          </cell>
        </row>
        <row r="9">
          <cell r="A9" t="str">
            <v>JUNIO</v>
          </cell>
          <cell r="B9">
            <v>436.11</v>
          </cell>
          <cell r="C9">
            <v>134</v>
          </cell>
        </row>
        <row r="10">
          <cell r="A10" t="str">
            <v xml:space="preserve">JULIO </v>
          </cell>
          <cell r="B10">
            <v>513.65</v>
          </cell>
          <cell r="C10">
            <v>163</v>
          </cell>
        </row>
        <row r="11">
          <cell r="A11" t="str">
            <v>AGOS.</v>
          </cell>
          <cell r="B11">
            <v>537.42999999999995</v>
          </cell>
          <cell r="C11">
            <v>132</v>
          </cell>
        </row>
        <row r="12">
          <cell r="A12" t="str">
            <v>SEP.</v>
          </cell>
          <cell r="B12">
            <v>506.81</v>
          </cell>
          <cell r="C12">
            <v>131</v>
          </cell>
        </row>
        <row r="13">
          <cell r="A13" t="str">
            <v>OCT.</v>
          </cell>
          <cell r="B13">
            <v>507.13</v>
          </cell>
          <cell r="C13">
            <v>136</v>
          </cell>
        </row>
        <row r="14">
          <cell r="A14" t="str">
            <v>NOV.</v>
          </cell>
          <cell r="B14">
            <v>671</v>
          </cell>
          <cell r="C14">
            <v>166</v>
          </cell>
        </row>
        <row r="15">
          <cell r="A15" t="str">
            <v>DIC.</v>
          </cell>
          <cell r="B15">
            <v>582.09</v>
          </cell>
          <cell r="C15">
            <v>151</v>
          </cell>
        </row>
      </sheetData>
      <sheetData sheetId="4">
        <row r="3">
          <cell r="B3" t="str">
            <v>TON.</v>
          </cell>
          <cell r="C3" t="str">
            <v>Nº VIAJES</v>
          </cell>
        </row>
        <row r="4">
          <cell r="A4" t="str">
            <v>ENE.</v>
          </cell>
          <cell r="B4">
            <v>628.44000000000005</v>
          </cell>
          <cell r="C4">
            <v>172</v>
          </cell>
        </row>
        <row r="5">
          <cell r="A5" t="str">
            <v>FEB.</v>
          </cell>
          <cell r="B5">
            <v>425.29</v>
          </cell>
          <cell r="C5">
            <v>143</v>
          </cell>
        </row>
        <row r="6">
          <cell r="A6" t="str">
            <v>MAR.</v>
          </cell>
          <cell r="B6">
            <v>652.51</v>
          </cell>
          <cell r="C6">
            <v>180</v>
          </cell>
        </row>
        <row r="7">
          <cell r="A7" t="str">
            <v>ABRIL</v>
          </cell>
          <cell r="B7">
            <v>296.89</v>
          </cell>
          <cell r="C7">
            <v>115</v>
          </cell>
        </row>
        <row r="8">
          <cell r="A8" t="str">
            <v>MAYO</v>
          </cell>
          <cell r="B8">
            <v>538.03</v>
          </cell>
          <cell r="C8">
            <v>143</v>
          </cell>
        </row>
        <row r="9">
          <cell r="A9" t="str">
            <v>JUNIO</v>
          </cell>
          <cell r="B9">
            <v>365.41</v>
          </cell>
          <cell r="C9">
            <v>115</v>
          </cell>
        </row>
        <row r="10">
          <cell r="A10" t="str">
            <v xml:space="preserve">JULIO </v>
          </cell>
          <cell r="B10">
            <v>399.59</v>
          </cell>
          <cell r="C10">
            <v>132</v>
          </cell>
        </row>
        <row r="11">
          <cell r="A11" t="str">
            <v>AGOS.</v>
          </cell>
          <cell r="B11">
            <v>470.77</v>
          </cell>
          <cell r="C11">
            <v>126</v>
          </cell>
        </row>
        <row r="12">
          <cell r="A12" t="str">
            <v>SEP.</v>
          </cell>
          <cell r="B12">
            <v>298.72000000000003</v>
          </cell>
          <cell r="C12">
            <v>88</v>
          </cell>
        </row>
        <row r="13">
          <cell r="A13" t="str">
            <v>OCT.</v>
          </cell>
          <cell r="B13">
            <v>292.89999999999998</v>
          </cell>
          <cell r="C13">
            <v>104</v>
          </cell>
        </row>
      </sheetData>
      <sheetData sheetId="5">
        <row r="3">
          <cell r="B3" t="str">
            <v>TON.</v>
          </cell>
          <cell r="C3" t="str">
            <v>Nº VIAJES</v>
          </cell>
        </row>
        <row r="4">
          <cell r="A4" t="str">
            <v>ENE.</v>
          </cell>
          <cell r="B4">
            <v>15.52</v>
          </cell>
          <cell r="C4">
            <v>17</v>
          </cell>
        </row>
        <row r="5">
          <cell r="A5" t="str">
            <v>FEB.</v>
          </cell>
          <cell r="B5">
            <v>9.1</v>
          </cell>
          <cell r="C5">
            <v>11</v>
          </cell>
        </row>
        <row r="6">
          <cell r="A6" t="str">
            <v>MAR.</v>
          </cell>
          <cell r="B6">
            <v>13.8</v>
          </cell>
          <cell r="C6">
            <v>15</v>
          </cell>
        </row>
        <row r="7">
          <cell r="A7" t="str">
            <v>ABRIL</v>
          </cell>
          <cell r="B7">
            <v>5.6</v>
          </cell>
          <cell r="C7">
            <v>6</v>
          </cell>
        </row>
        <row r="8">
          <cell r="A8" t="str">
            <v>MAYO</v>
          </cell>
          <cell r="B8">
            <v>9.77</v>
          </cell>
          <cell r="C8">
            <v>10</v>
          </cell>
        </row>
        <row r="9">
          <cell r="A9" t="str">
            <v>JUNIO</v>
          </cell>
          <cell r="B9">
            <v>12.26</v>
          </cell>
          <cell r="C9">
            <v>13</v>
          </cell>
        </row>
        <row r="10">
          <cell r="A10" t="str">
            <v xml:space="preserve">JULIO </v>
          </cell>
          <cell r="B10">
            <v>3.59</v>
          </cell>
          <cell r="C10">
            <v>4</v>
          </cell>
        </row>
      </sheetData>
      <sheetData sheetId="6">
        <row r="3">
          <cell r="B3" t="str">
            <v>TON.</v>
          </cell>
          <cell r="C3" t="str">
            <v>Nº VIAJES</v>
          </cell>
        </row>
        <row r="4">
          <cell r="A4" t="str">
            <v>ENE.</v>
          </cell>
          <cell r="B4">
            <v>14.28</v>
          </cell>
          <cell r="C4">
            <v>12</v>
          </cell>
        </row>
        <row r="5">
          <cell r="A5" t="str">
            <v>FEB.</v>
          </cell>
          <cell r="B5">
            <v>26.65</v>
          </cell>
          <cell r="C5">
            <v>16</v>
          </cell>
        </row>
        <row r="6">
          <cell r="A6" t="str">
            <v>MAR.</v>
          </cell>
          <cell r="B6">
            <v>47.03</v>
          </cell>
          <cell r="C6">
            <v>26</v>
          </cell>
        </row>
        <row r="7">
          <cell r="A7" t="str">
            <v>ABRIL</v>
          </cell>
          <cell r="B7">
            <v>61.58</v>
          </cell>
          <cell r="C7">
            <v>46</v>
          </cell>
        </row>
        <row r="8">
          <cell r="A8" t="str">
            <v>MAYO</v>
          </cell>
          <cell r="B8">
            <v>64.45</v>
          </cell>
          <cell r="C8">
            <v>65</v>
          </cell>
        </row>
        <row r="9">
          <cell r="A9" t="str">
            <v>JUNIO</v>
          </cell>
          <cell r="B9">
            <v>78.16</v>
          </cell>
          <cell r="C9">
            <v>52</v>
          </cell>
        </row>
        <row r="10">
          <cell r="A10" t="str">
            <v xml:space="preserve">JULIO </v>
          </cell>
        </row>
        <row r="11">
          <cell r="A11" t="str">
            <v>AGOS.</v>
          </cell>
        </row>
        <row r="12">
          <cell r="A12" t="str">
            <v>SEP.</v>
          </cell>
        </row>
        <row r="13">
          <cell r="A13" t="str">
            <v>OCT.</v>
          </cell>
        </row>
        <row r="14">
          <cell r="A14" t="str">
            <v>NOV.</v>
          </cell>
        </row>
        <row r="15">
          <cell r="A15" t="str">
            <v>DIC.</v>
          </cell>
        </row>
        <row r="16">
          <cell r="A16" t="str">
            <v xml:space="preserve">TOTAL </v>
          </cell>
          <cell r="B16">
            <v>292.14999999999998</v>
          </cell>
          <cell r="C16">
            <v>217</v>
          </cell>
        </row>
        <row r="17">
          <cell r="A17" t="str">
            <v xml:space="preserve">JULIO </v>
          </cell>
          <cell r="B17">
            <v>65.489999999999995</v>
          </cell>
          <cell r="C17">
            <v>37</v>
          </cell>
        </row>
        <row r="18">
          <cell r="A18" t="str">
            <v>AGOS.</v>
          </cell>
          <cell r="B18">
            <v>46.71</v>
          </cell>
          <cell r="C18">
            <v>31</v>
          </cell>
        </row>
        <row r="19">
          <cell r="A19" t="str">
            <v>SEPT.</v>
          </cell>
          <cell r="B19">
            <v>81.81</v>
          </cell>
          <cell r="C19">
            <v>33</v>
          </cell>
        </row>
        <row r="20">
          <cell r="A20" t="str">
            <v>OCT.</v>
          </cell>
          <cell r="B20">
            <v>101.39</v>
          </cell>
          <cell r="C20">
            <v>58</v>
          </cell>
        </row>
        <row r="21">
          <cell r="A21" t="str">
            <v>NOV.</v>
          </cell>
          <cell r="B21">
            <v>147</v>
          </cell>
          <cell r="C21">
            <v>65</v>
          </cell>
        </row>
        <row r="22">
          <cell r="A22" t="str">
            <v>DIC.</v>
          </cell>
          <cell r="B22">
            <v>14.837999999999999</v>
          </cell>
          <cell r="C22">
            <v>76</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3.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4.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5.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6.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7.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8.vml"/></Relationships>
</file>

<file path=xl/worksheets/_rels/sheet46.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9.vml"/><Relationship Id="rId1" Type="http://schemas.openxmlformats.org/officeDocument/2006/relationships/printerSettings" Target="../printerSettings/printerSettings17.bin"/></Relationships>
</file>

<file path=xl/worksheets/_rels/sheet47.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30.vml"/></Relationships>
</file>

<file path=xl/worksheets/_rels/sheet48.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1.vml"/></Relationships>
</file>

<file path=xl/worksheets/_rels/sheet49.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3.vml"/></Relationships>
</file>

<file path=xl/worksheets/_rels/sheet52.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4.vml"/><Relationship Id="rId1" Type="http://schemas.openxmlformats.org/officeDocument/2006/relationships/printerSettings" Target="../printerSettings/printerSettings18.bin"/></Relationships>
</file>

<file path=xl/worksheets/_rels/sheet53.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5.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6.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2:C26"/>
  <sheetViews>
    <sheetView tabSelected="1" workbookViewId="0">
      <selection activeCell="B4" sqref="B4:B9"/>
    </sheetView>
  </sheetViews>
  <sheetFormatPr baseColWidth="10" defaultRowHeight="15"/>
  <cols>
    <col min="2" max="2" width="24.85546875" customWidth="1"/>
    <col min="3" max="3" width="88.140625" bestFit="1" customWidth="1"/>
  </cols>
  <sheetData>
    <row r="2" spans="2:3" ht="33.75" customHeight="1">
      <c r="B2" s="459" t="s">
        <v>678</v>
      </c>
      <c r="C2" s="459"/>
    </row>
    <row r="3" spans="2:3" ht="30">
      <c r="B3" s="425" t="s">
        <v>679</v>
      </c>
      <c r="C3" s="417" t="s">
        <v>680</v>
      </c>
    </row>
    <row r="4" spans="2:3">
      <c r="B4" s="460" t="s">
        <v>673</v>
      </c>
      <c r="C4" s="418"/>
    </row>
    <row r="5" spans="2:3" ht="30">
      <c r="B5" s="460"/>
      <c r="C5" s="419" t="s">
        <v>654</v>
      </c>
    </row>
    <row r="6" spans="2:3" s="313" customFormat="1">
      <c r="B6" s="460"/>
      <c r="C6" s="419" t="s">
        <v>655</v>
      </c>
    </row>
    <row r="7" spans="2:3" s="313" customFormat="1">
      <c r="B7" s="460"/>
      <c r="C7" s="419" t="s">
        <v>674</v>
      </c>
    </row>
    <row r="8" spans="2:3" s="313" customFormat="1">
      <c r="B8" s="460"/>
      <c r="C8" s="419" t="s">
        <v>656</v>
      </c>
    </row>
    <row r="9" spans="2:3" s="313" customFormat="1" ht="30">
      <c r="B9" s="460"/>
      <c r="C9" s="420" t="s">
        <v>675</v>
      </c>
    </row>
    <row r="10" spans="2:3" s="313" customFormat="1">
      <c r="B10" s="425" t="s">
        <v>650</v>
      </c>
      <c r="C10" s="417" t="s">
        <v>651</v>
      </c>
    </row>
    <row r="11" spans="2:3" s="313" customFormat="1">
      <c r="B11" s="425" t="s">
        <v>652</v>
      </c>
      <c r="C11" s="417" t="s">
        <v>653</v>
      </c>
    </row>
    <row r="12" spans="2:3" s="313" customFormat="1">
      <c r="B12" s="355" t="s">
        <v>677</v>
      </c>
      <c r="C12" s="355" t="s">
        <v>676</v>
      </c>
    </row>
    <row r="13" spans="2:3" s="313" customFormat="1">
      <c r="B13"/>
      <c r="C13"/>
    </row>
    <row r="14" spans="2:3" s="313" customFormat="1">
      <c r="B14"/>
      <c r="C14"/>
    </row>
    <row r="22" spans="3:3">
      <c r="C22" s="371"/>
    </row>
    <row r="26" spans="3:3">
      <c r="C26" s="421"/>
    </row>
  </sheetData>
  <mergeCells count="2">
    <mergeCell ref="B2:C2"/>
    <mergeCell ref="B4:B9"/>
  </mergeCells>
  <pageMargins left="0.7" right="0.7" top="0.75" bottom="0.75" header="0.3" footer="0.3"/>
  <pageSetup orientation="portrait" verticalDpi="0" r:id="rId1"/>
  <legacyDrawing r:id="rId2"/>
  <oleObjects>
    <oleObject progId="Acrobat Document" dvAspect="DVASPECT_ICON" shapeId="239617" r:id="rId3"/>
  </oleObjects>
</worksheet>
</file>

<file path=xl/worksheets/sheet10.xml><?xml version="1.0" encoding="utf-8"?>
<worksheet xmlns="http://schemas.openxmlformats.org/spreadsheetml/2006/main" xmlns:r="http://schemas.openxmlformats.org/officeDocument/2006/relationships">
  <sheetPr>
    <tabColor theme="5" tint="-0.249977111117893"/>
  </sheetPr>
  <dimension ref="A1:N6"/>
  <sheetViews>
    <sheetView topLeftCell="B1" zoomScale="90" zoomScaleNormal="90" workbookViewId="0">
      <pane ySplit="1" topLeftCell="A2" activePane="bottomLeft" state="frozen"/>
      <selection pane="bottomLeft" activeCell="A2" sqref="A2:M2"/>
    </sheetView>
  </sheetViews>
  <sheetFormatPr baseColWidth="10" defaultRowHeight="15"/>
  <cols>
    <col min="1" max="2" width="13.5703125" customWidth="1"/>
    <col min="3" max="3" width="15.28515625" customWidth="1"/>
    <col min="4" max="4" width="15.42578125" customWidth="1"/>
    <col min="5" max="5" width="16.5703125" customWidth="1"/>
    <col min="7" max="7" width="14.85546875" customWidth="1"/>
    <col min="8" max="9" width="15" customWidth="1"/>
    <col min="10" max="10" width="14.140625" customWidth="1"/>
    <col min="11" max="11" width="18.7109375" customWidth="1"/>
    <col min="12" max="12" width="19.42578125" customWidth="1"/>
    <col min="13" max="13" width="15.85546875" customWidth="1"/>
    <col min="14" max="14" width="19.140625" customWidth="1"/>
  </cols>
  <sheetData>
    <row r="1" spans="1:14" ht="63">
      <c r="A1" s="16" t="s">
        <v>77</v>
      </c>
      <c r="B1" s="16" t="s">
        <v>0</v>
      </c>
      <c r="C1" s="16" t="s">
        <v>1</v>
      </c>
      <c r="D1" s="16" t="s">
        <v>78</v>
      </c>
      <c r="E1" s="16" t="s">
        <v>4</v>
      </c>
      <c r="F1" s="16" t="s">
        <v>5</v>
      </c>
      <c r="G1" s="17" t="s">
        <v>79</v>
      </c>
      <c r="H1" s="17" t="s">
        <v>80</v>
      </c>
      <c r="I1" s="17" t="s">
        <v>81</v>
      </c>
      <c r="J1" s="16" t="s">
        <v>82</v>
      </c>
      <c r="K1" s="18" t="s">
        <v>27</v>
      </c>
      <c r="L1" s="18" t="s">
        <v>28</v>
      </c>
      <c r="M1" s="18" t="s">
        <v>83</v>
      </c>
      <c r="N1" s="16" t="s">
        <v>7</v>
      </c>
    </row>
    <row r="2" spans="1:14" ht="75">
      <c r="A2" s="1" t="s">
        <v>185</v>
      </c>
      <c r="B2" s="1" t="s">
        <v>186</v>
      </c>
      <c r="C2" s="1" t="s">
        <v>10</v>
      </c>
      <c r="D2" s="1" t="s">
        <v>187</v>
      </c>
      <c r="E2" s="1" t="s">
        <v>188</v>
      </c>
      <c r="F2" s="1" t="s">
        <v>189</v>
      </c>
      <c r="G2" s="2">
        <v>260000</v>
      </c>
      <c r="H2" s="2">
        <v>119386</v>
      </c>
      <c r="I2" s="2">
        <v>994881</v>
      </c>
      <c r="J2" s="248">
        <f>+H2*1000/G2/365</f>
        <v>1.2580189673340358</v>
      </c>
      <c r="K2" s="11" t="s">
        <v>190</v>
      </c>
      <c r="L2" s="11" t="s">
        <v>191</v>
      </c>
      <c r="M2" s="11" t="s">
        <v>192</v>
      </c>
      <c r="N2" s="1"/>
    </row>
    <row r="3" spans="1:14">
      <c r="A3" s="1"/>
      <c r="B3" s="1"/>
      <c r="C3" s="1"/>
      <c r="D3" s="1"/>
      <c r="E3" s="1"/>
      <c r="F3" s="1"/>
      <c r="G3" s="2"/>
      <c r="H3" s="2"/>
      <c r="I3" s="2"/>
      <c r="J3" s="3"/>
      <c r="K3" s="11"/>
      <c r="L3" s="11"/>
      <c r="M3" s="11"/>
      <c r="N3" s="1"/>
    </row>
    <row r="4" spans="1:14">
      <c r="A4" s="1"/>
      <c r="B4" s="1"/>
      <c r="C4" s="1"/>
      <c r="D4" s="1"/>
      <c r="E4" s="1"/>
      <c r="F4" s="1"/>
      <c r="G4" s="2"/>
      <c r="H4" s="2"/>
      <c r="I4" s="2"/>
      <c r="J4" s="3"/>
      <c r="K4" s="11"/>
      <c r="L4" s="11"/>
      <c r="M4" s="11"/>
      <c r="N4" s="1"/>
    </row>
    <row r="5" spans="1:14">
      <c r="A5" s="1"/>
      <c r="B5" s="1"/>
      <c r="C5" s="1"/>
      <c r="D5" s="1"/>
      <c r="E5" s="4"/>
      <c r="F5" s="1"/>
      <c r="G5" s="2"/>
      <c r="H5" s="2"/>
      <c r="I5" s="2"/>
      <c r="J5" s="3"/>
      <c r="K5" s="11"/>
      <c r="L5" s="11"/>
      <c r="M5" s="11"/>
      <c r="N5" s="1"/>
    </row>
    <row r="6" spans="1:14">
      <c r="A6" s="5"/>
      <c r="B6" s="5"/>
      <c r="C6" s="5"/>
      <c r="D6" s="5"/>
      <c r="E6" s="6"/>
      <c r="F6" s="7"/>
      <c r="G6" s="7"/>
      <c r="H6" s="5"/>
      <c r="I6" s="5"/>
      <c r="J6" s="9"/>
      <c r="N6" s="8"/>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sheetPr>
    <tabColor theme="5" tint="-0.249977111117893"/>
  </sheetPr>
  <dimension ref="A1:N6"/>
  <sheetViews>
    <sheetView topLeftCell="C1" zoomScale="90" zoomScaleNormal="90" workbookViewId="0">
      <pane ySplit="1" topLeftCell="A2" activePane="bottomLeft" state="frozen"/>
      <selection activeCell="J2" sqref="J2"/>
      <selection pane="bottomLeft" activeCell="A2" sqref="A2:N3"/>
    </sheetView>
  </sheetViews>
  <sheetFormatPr baseColWidth="10" defaultRowHeight="15"/>
  <cols>
    <col min="1" max="2" width="13.5703125" customWidth="1"/>
    <col min="3" max="3" width="22.28515625" customWidth="1"/>
    <col min="4" max="4" width="15.42578125" customWidth="1"/>
    <col min="5" max="5" width="16.5703125" customWidth="1"/>
    <col min="7" max="7" width="14.85546875" customWidth="1"/>
    <col min="8" max="8" width="15" customWidth="1"/>
    <col min="9" max="9" width="15.85546875" bestFit="1" customWidth="1"/>
    <col min="10" max="10" width="14.140625" customWidth="1"/>
    <col min="11" max="11" width="14.140625" bestFit="1" customWidth="1"/>
    <col min="12" max="12" width="13.140625" bestFit="1" customWidth="1"/>
    <col min="13" max="13" width="15.85546875" customWidth="1"/>
    <col min="14" max="14" width="19.140625" customWidth="1"/>
  </cols>
  <sheetData>
    <row r="1" spans="1:14" ht="63">
      <c r="A1" s="69" t="s">
        <v>77</v>
      </c>
      <c r="B1" s="16" t="s">
        <v>0</v>
      </c>
      <c r="C1" s="16" t="s">
        <v>1</v>
      </c>
      <c r="D1" s="16" t="s">
        <v>78</v>
      </c>
      <c r="E1" s="16" t="s">
        <v>4</v>
      </c>
      <c r="F1" s="16" t="s">
        <v>5</v>
      </c>
      <c r="G1" s="70" t="s">
        <v>79</v>
      </c>
      <c r="H1" s="70" t="s">
        <v>80</v>
      </c>
      <c r="I1" s="17" t="s">
        <v>81</v>
      </c>
      <c r="J1" s="69" t="s">
        <v>82</v>
      </c>
      <c r="K1" s="18" t="s">
        <v>27</v>
      </c>
      <c r="L1" s="18" t="s">
        <v>28</v>
      </c>
      <c r="M1" s="18" t="s">
        <v>83</v>
      </c>
      <c r="N1" s="16" t="s">
        <v>7</v>
      </c>
    </row>
    <row r="2" spans="1:14" ht="30">
      <c r="A2" s="71" t="s">
        <v>193</v>
      </c>
      <c r="B2" s="72" t="s">
        <v>194</v>
      </c>
      <c r="C2" s="1" t="s">
        <v>195</v>
      </c>
      <c r="D2" s="1" t="s">
        <v>147</v>
      </c>
      <c r="E2" s="2">
        <v>9979</v>
      </c>
      <c r="F2" s="73">
        <v>990</v>
      </c>
      <c r="G2" s="74">
        <v>311415</v>
      </c>
      <c r="H2" s="75">
        <v>178262.42</v>
      </c>
      <c r="I2" s="76">
        <v>877846</v>
      </c>
      <c r="J2" s="77">
        <v>1.5680000000000001</v>
      </c>
      <c r="K2" s="78" t="s">
        <v>196</v>
      </c>
      <c r="L2" s="11" t="s">
        <v>197</v>
      </c>
      <c r="M2" s="11" t="s">
        <v>44</v>
      </c>
      <c r="N2" s="1" t="s">
        <v>198</v>
      </c>
    </row>
    <row r="3" spans="1:14" ht="30">
      <c r="A3" s="79"/>
      <c r="B3" s="72" t="s">
        <v>194</v>
      </c>
      <c r="C3" s="1" t="s">
        <v>199</v>
      </c>
      <c r="D3" s="1" t="s">
        <v>200</v>
      </c>
      <c r="E3" s="2">
        <v>9979</v>
      </c>
      <c r="F3" s="73">
        <v>990</v>
      </c>
      <c r="G3" s="80"/>
      <c r="H3" s="81"/>
      <c r="I3" s="76">
        <v>764660</v>
      </c>
      <c r="J3" s="82"/>
      <c r="K3" s="78" t="s">
        <v>201</v>
      </c>
      <c r="L3" s="11" t="s">
        <v>202</v>
      </c>
      <c r="M3" s="11" t="s">
        <v>44</v>
      </c>
      <c r="N3" s="1" t="s">
        <v>198</v>
      </c>
    </row>
    <row r="4" spans="1:14">
      <c r="A4" s="5"/>
      <c r="B4" s="5"/>
      <c r="C4" s="5"/>
      <c r="D4" s="5"/>
      <c r="E4" s="6"/>
      <c r="F4" s="7"/>
      <c r="G4" s="7"/>
      <c r="H4" s="5"/>
      <c r="I4" s="236">
        <f>SUM(I2:I3)</f>
        <v>1642506</v>
      </c>
      <c r="J4" s="9"/>
      <c r="N4" s="8"/>
    </row>
    <row r="5" spans="1:14">
      <c r="J5">
        <f>+H2*1000/G2/365</f>
        <v>1.5682937295275499</v>
      </c>
    </row>
    <row r="6" spans="1:14">
      <c r="B6" s="83"/>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sheetPr>
    <tabColor theme="5" tint="-0.249977111117893"/>
  </sheetPr>
  <dimension ref="A1:N5"/>
  <sheetViews>
    <sheetView workbookViewId="0">
      <selection activeCell="A2" sqref="A2:N3"/>
    </sheetView>
  </sheetViews>
  <sheetFormatPr baseColWidth="10" defaultRowHeight="15"/>
  <cols>
    <col min="2" max="2" width="15.5703125" customWidth="1"/>
    <col min="9" max="9" width="12.7109375" bestFit="1" customWidth="1"/>
    <col min="13" max="13" width="13" customWidth="1"/>
  </cols>
  <sheetData>
    <row r="1" spans="1:14" ht="51.75" thickBot="1">
      <c r="A1" s="93" t="s">
        <v>2</v>
      </c>
      <c r="B1" s="94" t="s">
        <v>0</v>
      </c>
      <c r="C1" s="94" t="s">
        <v>1</v>
      </c>
      <c r="D1" s="94" t="s">
        <v>78</v>
      </c>
      <c r="E1" s="94" t="s">
        <v>227</v>
      </c>
      <c r="F1" s="94" t="s">
        <v>5</v>
      </c>
      <c r="G1" s="94" t="s">
        <v>230</v>
      </c>
      <c r="H1" s="94" t="s">
        <v>164</v>
      </c>
      <c r="I1" s="94" t="s">
        <v>81</v>
      </c>
      <c r="J1" s="94" t="s">
        <v>231</v>
      </c>
      <c r="K1" s="94" t="s">
        <v>232</v>
      </c>
      <c r="L1" s="94" t="s">
        <v>41</v>
      </c>
      <c r="M1" s="94" t="s">
        <v>168</v>
      </c>
      <c r="N1" s="94" t="s">
        <v>7</v>
      </c>
    </row>
    <row r="2" spans="1:14" ht="26.25" thickBot="1">
      <c r="A2" s="466" t="s">
        <v>233</v>
      </c>
      <c r="B2" s="95" t="s">
        <v>234</v>
      </c>
      <c r="C2" s="466" t="s">
        <v>235</v>
      </c>
      <c r="D2" s="95" t="s">
        <v>87</v>
      </c>
      <c r="E2" s="468" t="s">
        <v>236</v>
      </c>
      <c r="F2" s="95"/>
      <c r="G2" s="292">
        <v>130808</v>
      </c>
      <c r="H2" s="292">
        <v>75629</v>
      </c>
      <c r="I2" s="96">
        <v>374139</v>
      </c>
      <c r="J2" s="466">
        <v>1.7</v>
      </c>
      <c r="K2" s="95" t="s">
        <v>237</v>
      </c>
      <c r="L2" s="95" t="s">
        <v>238</v>
      </c>
      <c r="M2" s="466" t="s">
        <v>239</v>
      </c>
      <c r="N2" s="95"/>
    </row>
    <row r="3" spans="1:14" ht="77.25" thickBot="1">
      <c r="A3" s="467"/>
      <c r="B3" s="97" t="s">
        <v>240</v>
      </c>
      <c r="C3" s="467"/>
      <c r="D3" s="95" t="s">
        <v>241</v>
      </c>
      <c r="E3" s="469"/>
      <c r="F3" s="95"/>
      <c r="G3" s="223"/>
      <c r="H3" s="223"/>
      <c r="I3" s="96">
        <v>325899</v>
      </c>
      <c r="J3" s="467"/>
      <c r="K3" s="95" t="s">
        <v>242</v>
      </c>
      <c r="L3" s="95" t="s">
        <v>243</v>
      </c>
      <c r="M3" s="467"/>
      <c r="N3" s="95" t="s">
        <v>244</v>
      </c>
    </row>
    <row r="4" spans="1:14">
      <c r="I4" s="228">
        <f>SUM(I2:I3)</f>
        <v>700038</v>
      </c>
    </row>
    <row r="5" spans="1:14">
      <c r="J5">
        <f>+H2*1000/G2/365</f>
        <v>1.5840219231700461</v>
      </c>
    </row>
  </sheetData>
  <mergeCells count="5">
    <mergeCell ref="M2:M3"/>
    <mergeCell ref="A2:A3"/>
    <mergeCell ref="C2:C3"/>
    <mergeCell ref="E2:E3"/>
    <mergeCell ref="J2:J3"/>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5" tint="-0.249977111117893"/>
  </sheetPr>
  <dimension ref="A1:N5"/>
  <sheetViews>
    <sheetView workbookViewId="0">
      <selection activeCell="A2" sqref="A2:M2"/>
    </sheetView>
  </sheetViews>
  <sheetFormatPr baseColWidth="10" defaultRowHeight="15"/>
  <cols>
    <col min="10" max="10" width="14.140625" bestFit="1" customWidth="1"/>
    <col min="13" max="13" width="20.140625" customWidth="1"/>
    <col min="14" max="14" width="16.42578125" customWidth="1"/>
  </cols>
  <sheetData>
    <row r="1" spans="1:14" ht="51">
      <c r="A1" s="98" t="s">
        <v>77</v>
      </c>
      <c r="B1" s="98" t="s">
        <v>0</v>
      </c>
      <c r="C1" s="98" t="s">
        <v>1</v>
      </c>
      <c r="D1" s="98" t="s">
        <v>78</v>
      </c>
      <c r="E1" s="98" t="s">
        <v>4</v>
      </c>
      <c r="F1" s="98" t="s">
        <v>5</v>
      </c>
      <c r="G1" s="99" t="s">
        <v>79</v>
      </c>
      <c r="H1" s="99" t="s">
        <v>80</v>
      </c>
      <c r="I1" s="99" t="s">
        <v>216</v>
      </c>
      <c r="J1" s="98" t="s">
        <v>82</v>
      </c>
      <c r="K1" s="100" t="s">
        <v>27</v>
      </c>
      <c r="L1" s="100" t="s">
        <v>28</v>
      </c>
      <c r="M1" s="100" t="s">
        <v>83</v>
      </c>
      <c r="N1" s="98" t="s">
        <v>7</v>
      </c>
    </row>
    <row r="2" spans="1:14" ht="51">
      <c r="A2" s="101" t="s">
        <v>87</v>
      </c>
      <c r="B2" s="101" t="s">
        <v>194</v>
      </c>
      <c r="C2" s="101" t="s">
        <v>10</v>
      </c>
      <c r="D2" s="101" t="s">
        <v>20</v>
      </c>
      <c r="E2" s="101">
        <v>9979</v>
      </c>
      <c r="F2" s="101">
        <v>990</v>
      </c>
      <c r="G2" s="197">
        <v>203000</v>
      </c>
      <c r="H2" s="102">
        <v>76466</v>
      </c>
      <c r="I2" s="102">
        <v>453234</v>
      </c>
      <c r="J2" s="178">
        <v>1.032</v>
      </c>
      <c r="K2" s="104">
        <v>553000</v>
      </c>
      <c r="L2" s="104">
        <v>332000</v>
      </c>
      <c r="M2" s="105" t="s">
        <v>249</v>
      </c>
      <c r="N2" s="101"/>
    </row>
    <row r="4" spans="1:14">
      <c r="J4">
        <f>G2*1.032</f>
        <v>209496</v>
      </c>
    </row>
    <row r="5" spans="1:14">
      <c r="J5" s="298">
        <f>+J4*365</f>
        <v>76466040</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sheetPr>
    <tabColor theme="5" tint="-0.249977111117893"/>
  </sheetPr>
  <dimension ref="A1:N3"/>
  <sheetViews>
    <sheetView workbookViewId="0">
      <selection activeCell="A2" sqref="A2:M2"/>
    </sheetView>
  </sheetViews>
  <sheetFormatPr baseColWidth="10" defaultRowHeight="15"/>
  <cols>
    <col min="9" max="9" width="12.7109375" bestFit="1" customWidth="1"/>
    <col min="11" max="11" width="11.85546875" bestFit="1" customWidth="1"/>
    <col min="13" max="13" width="17.7109375" customWidth="1"/>
  </cols>
  <sheetData>
    <row r="1" spans="1:14" ht="51">
      <c r="A1" s="98" t="s">
        <v>77</v>
      </c>
      <c r="B1" s="98" t="s">
        <v>0</v>
      </c>
      <c r="C1" s="98" t="s">
        <v>1</v>
      </c>
      <c r="D1" s="98" t="s">
        <v>78</v>
      </c>
      <c r="E1" s="98" t="s">
        <v>4</v>
      </c>
      <c r="F1" s="98" t="s">
        <v>5</v>
      </c>
      <c r="G1" s="99" t="s">
        <v>79</v>
      </c>
      <c r="H1" s="99" t="s">
        <v>80</v>
      </c>
      <c r="I1" s="99" t="s">
        <v>216</v>
      </c>
      <c r="J1" s="98" t="s">
        <v>82</v>
      </c>
      <c r="K1" s="100" t="s">
        <v>27</v>
      </c>
      <c r="L1" s="100" t="s">
        <v>28</v>
      </c>
      <c r="M1" s="100" t="s">
        <v>83</v>
      </c>
      <c r="N1" s="98" t="s">
        <v>7</v>
      </c>
    </row>
    <row r="2" spans="1:14" ht="63.75">
      <c r="A2" s="101" t="s">
        <v>250</v>
      </c>
      <c r="B2" s="101" t="s">
        <v>251</v>
      </c>
      <c r="C2" s="101" t="s">
        <v>10</v>
      </c>
      <c r="D2" s="101" t="s">
        <v>20</v>
      </c>
      <c r="E2" s="101" t="s">
        <v>171</v>
      </c>
      <c r="F2" s="101" t="s">
        <v>252</v>
      </c>
      <c r="G2" s="102">
        <v>284342</v>
      </c>
      <c r="H2" s="102">
        <v>117245</v>
      </c>
      <c r="I2" s="102">
        <v>1236000</v>
      </c>
      <c r="J2" s="106">
        <v>1.1299999999999999</v>
      </c>
      <c r="K2" s="104">
        <v>6553000</v>
      </c>
      <c r="L2" s="104">
        <v>332000</v>
      </c>
      <c r="M2" s="105" t="s">
        <v>249</v>
      </c>
      <c r="N2" s="101"/>
    </row>
    <row r="3" spans="1:14">
      <c r="J3">
        <f>+H2*1000/G2/365</f>
        <v>1.129693038953766</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sheetPr>
    <tabColor theme="5" tint="-0.249977111117893"/>
  </sheetPr>
  <dimension ref="A1:N2"/>
  <sheetViews>
    <sheetView workbookViewId="0">
      <selection activeCell="A2" sqref="A2:M2"/>
    </sheetView>
  </sheetViews>
  <sheetFormatPr baseColWidth="10" defaultRowHeight="15"/>
  <cols>
    <col min="9" max="9" width="15.85546875" bestFit="1" customWidth="1"/>
    <col min="13" max="13" width="17" customWidth="1"/>
  </cols>
  <sheetData>
    <row r="1" spans="1:14" ht="94.5">
      <c r="A1" s="114" t="s">
        <v>77</v>
      </c>
      <c r="B1" s="114" t="s">
        <v>0</v>
      </c>
      <c r="C1" s="114" t="s">
        <v>1</v>
      </c>
      <c r="D1" s="114" t="s">
        <v>78</v>
      </c>
      <c r="E1" s="114" t="s">
        <v>4</v>
      </c>
      <c r="F1" s="114" t="s">
        <v>5</v>
      </c>
      <c r="G1" s="115" t="s">
        <v>79</v>
      </c>
      <c r="H1" s="115" t="s">
        <v>80</v>
      </c>
      <c r="I1" s="115" t="s">
        <v>81</v>
      </c>
      <c r="J1" s="114" t="s">
        <v>82</v>
      </c>
      <c r="K1" s="116" t="s">
        <v>27</v>
      </c>
      <c r="L1" s="116" t="s">
        <v>28</v>
      </c>
      <c r="M1" s="116" t="s">
        <v>83</v>
      </c>
      <c r="N1" s="114" t="s">
        <v>7</v>
      </c>
    </row>
    <row r="2" spans="1:14" ht="45">
      <c r="A2" s="112" t="s">
        <v>270</v>
      </c>
      <c r="B2" s="112" t="s">
        <v>194</v>
      </c>
      <c r="C2" s="112" t="s">
        <v>10</v>
      </c>
      <c r="D2" s="112" t="s">
        <v>271</v>
      </c>
      <c r="E2" s="112">
        <v>9979</v>
      </c>
      <c r="F2" s="112">
        <v>990</v>
      </c>
      <c r="G2" s="135">
        <v>96762</v>
      </c>
      <c r="H2" s="113">
        <v>46715</v>
      </c>
      <c r="I2" s="113">
        <v>1380967</v>
      </c>
      <c r="J2" s="248">
        <f>+H2*1000/G2/365</f>
        <v>1.3226917733186891</v>
      </c>
      <c r="K2" s="113">
        <v>553000</v>
      </c>
      <c r="L2" s="113">
        <v>332000</v>
      </c>
      <c r="M2" s="117" t="s">
        <v>272</v>
      </c>
      <c r="N2" s="112"/>
    </row>
  </sheetData>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sheetPr>
    <tabColor theme="5" tint="-0.249977111117893"/>
  </sheetPr>
  <dimension ref="A1:N2"/>
  <sheetViews>
    <sheetView workbookViewId="0">
      <selection activeCell="A2" sqref="A2:M2"/>
    </sheetView>
  </sheetViews>
  <sheetFormatPr baseColWidth="10" defaultRowHeight="15"/>
  <cols>
    <col min="9" max="9" width="15.85546875" bestFit="1" customWidth="1"/>
    <col min="13" max="13" width="30.140625" customWidth="1"/>
  </cols>
  <sheetData>
    <row r="1" spans="1:14" ht="94.5">
      <c r="A1" s="128" t="s">
        <v>77</v>
      </c>
      <c r="B1" s="128" t="s">
        <v>0</v>
      </c>
      <c r="C1" s="128" t="s">
        <v>1</v>
      </c>
      <c r="D1" s="128" t="s">
        <v>78</v>
      </c>
      <c r="E1" s="128" t="s">
        <v>4</v>
      </c>
      <c r="F1" s="128" t="s">
        <v>5</v>
      </c>
      <c r="G1" s="129" t="s">
        <v>79</v>
      </c>
      <c r="H1" s="129" t="s">
        <v>80</v>
      </c>
      <c r="I1" s="129" t="s">
        <v>81</v>
      </c>
      <c r="J1" s="128" t="s">
        <v>82</v>
      </c>
      <c r="K1" s="130" t="s">
        <v>27</v>
      </c>
      <c r="L1" s="130" t="s">
        <v>28</v>
      </c>
      <c r="M1" s="130" t="s">
        <v>83</v>
      </c>
      <c r="N1" s="128" t="s">
        <v>7</v>
      </c>
    </row>
    <row r="2" spans="1:14" ht="60">
      <c r="A2" s="126" t="s">
        <v>279</v>
      </c>
      <c r="B2" s="126" t="s">
        <v>194</v>
      </c>
      <c r="C2" s="126" t="s">
        <v>93</v>
      </c>
      <c r="D2" s="126" t="s">
        <v>200</v>
      </c>
      <c r="E2" s="126">
        <v>9979</v>
      </c>
      <c r="F2" s="126">
        <v>990</v>
      </c>
      <c r="G2" s="127">
        <v>104000</v>
      </c>
      <c r="H2" s="127">
        <v>53840</v>
      </c>
      <c r="I2" s="127">
        <v>1347700</v>
      </c>
      <c r="J2" s="248">
        <f>+H2*1000/G2/365</f>
        <v>1.4183350895679665</v>
      </c>
      <c r="K2" s="131">
        <v>553000</v>
      </c>
      <c r="L2" s="131">
        <v>332000</v>
      </c>
      <c r="M2" s="132" t="s">
        <v>280</v>
      </c>
      <c r="N2" s="12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5" tint="-0.249977111117893"/>
  </sheetPr>
  <dimension ref="A1:N4"/>
  <sheetViews>
    <sheetView workbookViewId="0">
      <selection activeCell="A2" sqref="A2:N3"/>
    </sheetView>
  </sheetViews>
  <sheetFormatPr baseColWidth="10" defaultRowHeight="15"/>
  <cols>
    <col min="9" max="9" width="14" bestFit="1" customWidth="1"/>
  </cols>
  <sheetData>
    <row r="1" spans="1:14" ht="94.5">
      <c r="A1" s="144" t="s">
        <v>77</v>
      </c>
      <c r="B1" s="144" t="s">
        <v>0</v>
      </c>
      <c r="C1" s="144" t="s">
        <v>1</v>
      </c>
      <c r="D1" s="144" t="s">
        <v>78</v>
      </c>
      <c r="E1" s="144" t="s">
        <v>4</v>
      </c>
      <c r="F1" s="144" t="s">
        <v>5</v>
      </c>
      <c r="G1" s="145" t="s">
        <v>79</v>
      </c>
      <c r="H1" s="145" t="s">
        <v>80</v>
      </c>
      <c r="I1" s="145" t="s">
        <v>81</v>
      </c>
      <c r="J1" s="144" t="s">
        <v>82</v>
      </c>
      <c r="K1" s="146" t="s">
        <v>27</v>
      </c>
      <c r="L1" s="146" t="s">
        <v>28</v>
      </c>
      <c r="M1" s="146" t="s">
        <v>83</v>
      </c>
      <c r="N1" s="144" t="s">
        <v>7</v>
      </c>
    </row>
    <row r="2" spans="1:14" ht="60">
      <c r="A2" s="134" t="s">
        <v>281</v>
      </c>
      <c r="B2" s="134" t="s">
        <v>282</v>
      </c>
      <c r="C2" s="134" t="s">
        <v>283</v>
      </c>
      <c r="D2" s="134" t="s">
        <v>147</v>
      </c>
      <c r="E2" s="134" t="s">
        <v>284</v>
      </c>
      <c r="F2" s="134" t="s">
        <v>252</v>
      </c>
      <c r="G2" s="293">
        <v>124130</v>
      </c>
      <c r="H2" s="135">
        <v>24762</v>
      </c>
      <c r="I2" s="135">
        <v>101590</v>
      </c>
      <c r="J2" s="251">
        <f>+H4*1000/G2/365</f>
        <v>1.0563604881757855</v>
      </c>
      <c r="K2" s="143"/>
      <c r="L2" s="143"/>
      <c r="M2" s="148" t="s">
        <v>285</v>
      </c>
      <c r="N2" s="470" t="s">
        <v>286</v>
      </c>
    </row>
    <row r="3" spans="1:14" ht="60">
      <c r="A3" s="134" t="s">
        <v>281</v>
      </c>
      <c r="B3" s="134" t="s">
        <v>287</v>
      </c>
      <c r="C3" s="134" t="s">
        <v>93</v>
      </c>
      <c r="D3" s="134" t="s">
        <v>200</v>
      </c>
      <c r="E3" s="134" t="s">
        <v>88</v>
      </c>
      <c r="F3" s="134" t="s">
        <v>252</v>
      </c>
      <c r="G3" s="294"/>
      <c r="H3" s="135">
        <v>23099</v>
      </c>
      <c r="I3" s="135">
        <v>171224</v>
      </c>
      <c r="J3" s="299"/>
      <c r="K3" s="143"/>
      <c r="L3" s="143"/>
      <c r="M3" s="147" t="s">
        <v>288</v>
      </c>
      <c r="N3" s="471"/>
    </row>
    <row r="4" spans="1:14">
      <c r="H4" s="229">
        <f>SUM(H2:H3)</f>
        <v>47861</v>
      </c>
      <c r="I4" s="229">
        <f>SUM(I2:I3)</f>
        <v>272814</v>
      </c>
    </row>
  </sheetData>
  <mergeCells count="1">
    <mergeCell ref="N2:N3"/>
  </mergeCells>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5" tint="-0.249977111117893"/>
  </sheetPr>
  <dimension ref="A1:N20"/>
  <sheetViews>
    <sheetView topLeftCell="B1" workbookViewId="0">
      <selection activeCell="A2" sqref="A2:M2"/>
    </sheetView>
  </sheetViews>
  <sheetFormatPr baseColWidth="10" defaultRowHeight="15"/>
  <cols>
    <col min="1" max="1" width="14" customWidth="1"/>
    <col min="9" max="9" width="12.7109375" bestFit="1" customWidth="1"/>
    <col min="13" max="13" width="39.140625" customWidth="1"/>
  </cols>
  <sheetData>
    <row r="1" spans="1:14" ht="94.5">
      <c r="A1" s="144" t="s">
        <v>77</v>
      </c>
      <c r="B1" s="144" t="s">
        <v>0</v>
      </c>
      <c r="C1" s="144" t="s">
        <v>1</v>
      </c>
      <c r="D1" s="144" t="s">
        <v>78</v>
      </c>
      <c r="E1" s="144" t="s">
        <v>4</v>
      </c>
      <c r="F1" s="144" t="s">
        <v>5</v>
      </c>
      <c r="G1" s="145" t="s">
        <v>79</v>
      </c>
      <c r="H1" s="145" t="s">
        <v>80</v>
      </c>
      <c r="I1" s="145" t="s">
        <v>81</v>
      </c>
      <c r="J1" s="144" t="s">
        <v>82</v>
      </c>
      <c r="K1" s="146" t="s">
        <v>27</v>
      </c>
      <c r="L1" s="146" t="s">
        <v>28</v>
      </c>
      <c r="M1" s="146" t="s">
        <v>83</v>
      </c>
      <c r="N1" s="144" t="s">
        <v>7</v>
      </c>
    </row>
    <row r="2" spans="1:14" ht="101.25">
      <c r="A2" s="134" t="s">
        <v>301</v>
      </c>
      <c r="B2" s="134" t="s">
        <v>302</v>
      </c>
      <c r="C2" s="134" t="s">
        <v>10</v>
      </c>
      <c r="D2" s="134" t="s">
        <v>303</v>
      </c>
      <c r="E2" s="147" t="s">
        <v>88</v>
      </c>
      <c r="F2" s="134" t="s">
        <v>304</v>
      </c>
      <c r="G2" s="135">
        <v>30000</v>
      </c>
      <c r="H2" s="135">
        <v>8542</v>
      </c>
      <c r="I2" s="135">
        <v>79465</v>
      </c>
      <c r="J2" s="136">
        <v>0.78</v>
      </c>
      <c r="K2" s="150" t="s">
        <v>305</v>
      </c>
      <c r="L2" s="150" t="s">
        <v>306</v>
      </c>
      <c r="M2" s="151" t="s">
        <v>307</v>
      </c>
      <c r="N2" s="134"/>
    </row>
    <row r="3" spans="1:14">
      <c r="A3" s="134"/>
      <c r="B3" s="134"/>
      <c r="C3" s="134"/>
      <c r="D3" s="134"/>
      <c r="E3" s="134"/>
      <c r="F3" s="134"/>
      <c r="G3" s="135"/>
      <c r="H3" s="135"/>
      <c r="I3" s="135"/>
      <c r="J3" s="136"/>
      <c r="K3" s="143"/>
      <c r="L3" s="143"/>
      <c r="M3" s="143"/>
      <c r="N3" s="134"/>
    </row>
    <row r="4" spans="1:14">
      <c r="A4" s="134"/>
      <c r="B4" s="134"/>
      <c r="C4" s="134"/>
      <c r="D4" s="134"/>
      <c r="E4" s="134"/>
      <c r="F4" s="134"/>
      <c r="G4" s="135"/>
      <c r="H4" s="135"/>
      <c r="I4" s="135"/>
      <c r="J4" s="136"/>
      <c r="K4" s="143"/>
      <c r="L4" s="143"/>
      <c r="M4" s="143"/>
      <c r="N4" s="134"/>
    </row>
    <row r="5" spans="1:14">
      <c r="A5" s="134"/>
      <c r="B5" s="134"/>
      <c r="C5" s="134"/>
      <c r="D5" s="134"/>
      <c r="E5" s="137"/>
      <c r="F5" s="134"/>
      <c r="G5" s="135"/>
      <c r="H5" s="135"/>
      <c r="I5" s="135"/>
      <c r="J5" s="136"/>
      <c r="K5" s="143"/>
      <c r="L5" s="143"/>
      <c r="M5" s="143"/>
      <c r="N5" s="134"/>
    </row>
    <row r="6" spans="1:14">
      <c r="A6" s="138"/>
      <c r="B6" s="138"/>
      <c r="C6" s="138"/>
      <c r="D6" s="138"/>
      <c r="E6" s="139"/>
      <c r="F6" s="140"/>
      <c r="G6" s="140"/>
      <c r="H6" s="138"/>
      <c r="I6" s="138"/>
      <c r="J6" s="142"/>
      <c r="K6" s="133"/>
      <c r="L6" s="133"/>
      <c r="M6" s="133"/>
      <c r="N6" s="141"/>
    </row>
    <row r="7" spans="1:14">
      <c r="A7" s="133"/>
      <c r="B7" s="152">
        <v>41974</v>
      </c>
      <c r="C7" s="153">
        <v>781.67</v>
      </c>
      <c r="D7" s="153">
        <v>4007070</v>
      </c>
      <c r="E7" s="153">
        <v>3563446</v>
      </c>
      <c r="F7" s="153"/>
      <c r="G7" s="153">
        <v>30000</v>
      </c>
      <c r="H7" s="153">
        <v>8542000</v>
      </c>
      <c r="I7" s="133"/>
      <c r="J7" s="153">
        <v>365</v>
      </c>
      <c r="K7" s="133"/>
      <c r="L7" s="133"/>
      <c r="M7" s="133"/>
      <c r="N7" s="133"/>
    </row>
    <row r="8" spans="1:14">
      <c r="A8" s="133"/>
      <c r="B8" s="133" t="s">
        <v>308</v>
      </c>
      <c r="C8" s="153">
        <v>665.43</v>
      </c>
      <c r="D8" s="153">
        <v>3411190</v>
      </c>
      <c r="E8" s="153">
        <v>3033536</v>
      </c>
      <c r="F8" s="153"/>
      <c r="G8" s="133"/>
      <c r="H8" s="133">
        <f>+H7/G7</f>
        <v>284.73333333333335</v>
      </c>
      <c r="I8" s="133"/>
      <c r="J8" s="133">
        <f>+H8/J7</f>
        <v>0.78009132420091332</v>
      </c>
      <c r="K8" s="133"/>
      <c r="L8" s="133"/>
      <c r="M8" s="133"/>
      <c r="N8" s="133"/>
    </row>
    <row r="9" spans="1:14">
      <c r="A9" s="133"/>
      <c r="B9" s="133" t="s">
        <v>309</v>
      </c>
      <c r="C9" s="153">
        <v>747.88</v>
      </c>
      <c r="D9" s="153">
        <v>3651291</v>
      </c>
      <c r="E9" s="153">
        <v>3247056</v>
      </c>
      <c r="F9" s="153"/>
      <c r="G9" s="133"/>
      <c r="H9" s="133"/>
      <c r="I9" s="133"/>
      <c r="J9" s="133"/>
      <c r="K9" s="133"/>
      <c r="L9" s="133"/>
      <c r="M9" s="133"/>
      <c r="N9" s="133"/>
    </row>
    <row r="10" spans="1:14">
      <c r="A10" s="133"/>
      <c r="B10" s="133" t="s">
        <v>310</v>
      </c>
      <c r="C10" s="153">
        <v>745.79</v>
      </c>
      <c r="D10" s="153">
        <v>3641088</v>
      </c>
      <c r="E10" s="153">
        <v>3237982</v>
      </c>
      <c r="F10" s="153"/>
      <c r="G10" s="133"/>
      <c r="H10" s="133"/>
      <c r="I10" s="133"/>
      <c r="J10" s="133"/>
      <c r="K10" s="133"/>
      <c r="L10" s="133"/>
      <c r="M10" s="133"/>
      <c r="N10" s="133"/>
    </row>
    <row r="11" spans="1:14">
      <c r="A11" s="133"/>
      <c r="B11" s="133" t="s">
        <v>311</v>
      </c>
      <c r="C11" s="153">
        <v>667.23</v>
      </c>
      <c r="D11" s="153">
        <v>3257543</v>
      </c>
      <c r="E11" s="153">
        <v>2896899</v>
      </c>
      <c r="F11" s="153"/>
      <c r="G11" s="133"/>
      <c r="H11" s="133"/>
      <c r="I11" s="133"/>
      <c r="J11" s="133"/>
      <c r="K11" s="133"/>
      <c r="L11" s="133"/>
      <c r="M11" s="133"/>
      <c r="N11" s="133"/>
    </row>
    <row r="12" spans="1:14">
      <c r="A12" s="133"/>
      <c r="B12" s="133" t="s">
        <v>312</v>
      </c>
      <c r="C12" s="153">
        <v>676.91</v>
      </c>
      <c r="D12" s="153">
        <v>3304803</v>
      </c>
      <c r="E12" s="153">
        <v>2938927</v>
      </c>
      <c r="F12" s="153"/>
      <c r="G12" s="133"/>
      <c r="H12" s="133"/>
      <c r="I12" s="133"/>
      <c r="J12" s="133"/>
      <c r="K12" s="133"/>
      <c r="L12" s="133"/>
      <c r="M12" s="133"/>
      <c r="N12" s="133"/>
    </row>
    <row r="13" spans="1:14">
      <c r="A13" s="133"/>
      <c r="B13" s="133" t="s">
        <v>313</v>
      </c>
      <c r="C13" s="153">
        <v>665.86</v>
      </c>
      <c r="D13" s="153">
        <v>3250855</v>
      </c>
      <c r="E13" s="153">
        <v>2890951</v>
      </c>
      <c r="F13" s="153"/>
      <c r="G13" s="133"/>
      <c r="H13" s="133"/>
      <c r="I13" s="133"/>
      <c r="J13" s="133"/>
      <c r="K13" s="133"/>
      <c r="L13" s="133"/>
      <c r="M13" s="133"/>
      <c r="N13" s="133"/>
    </row>
    <row r="14" spans="1:14">
      <c r="A14" s="133"/>
      <c r="B14" s="133" t="s">
        <v>314</v>
      </c>
      <c r="C14" s="153">
        <v>684.78</v>
      </c>
      <c r="D14" s="153">
        <v>3343225</v>
      </c>
      <c r="E14" s="153">
        <v>2973096</v>
      </c>
      <c r="F14" s="153"/>
      <c r="G14" s="133"/>
      <c r="H14" s="133"/>
      <c r="I14" s="133"/>
      <c r="J14" s="133"/>
      <c r="K14" s="133"/>
      <c r="L14" s="133"/>
      <c r="M14" s="133"/>
      <c r="N14" s="133"/>
    </row>
    <row r="15" spans="1:14">
      <c r="A15" s="133"/>
      <c r="B15" s="133" t="s">
        <v>315</v>
      </c>
      <c r="C15" s="153">
        <v>669.43</v>
      </c>
      <c r="D15" s="153">
        <v>3268284</v>
      </c>
      <c r="E15" s="153">
        <v>2906451</v>
      </c>
      <c r="F15" s="153"/>
      <c r="G15" s="133"/>
      <c r="H15" s="133"/>
      <c r="I15" s="133"/>
      <c r="J15" s="133"/>
      <c r="K15" s="133"/>
      <c r="L15" s="133"/>
      <c r="M15" s="133"/>
      <c r="N15" s="133"/>
    </row>
    <row r="16" spans="1:14">
      <c r="A16" s="133"/>
      <c r="B16" s="133" t="s">
        <v>316</v>
      </c>
      <c r="C16" s="153">
        <v>714.85</v>
      </c>
      <c r="D16" s="153">
        <v>3490033</v>
      </c>
      <c r="E16" s="153">
        <v>3103650</v>
      </c>
      <c r="F16" s="153"/>
      <c r="G16" s="133"/>
      <c r="H16" s="133"/>
      <c r="I16" s="133"/>
      <c r="J16" s="133"/>
      <c r="K16" s="133"/>
      <c r="L16" s="133"/>
      <c r="M16" s="133"/>
      <c r="N16" s="133"/>
    </row>
    <row r="17" spans="1:14">
      <c r="A17" s="133"/>
      <c r="B17" s="133" t="s">
        <v>317</v>
      </c>
      <c r="C17" s="153">
        <v>703.25</v>
      </c>
      <c r="D17" s="153">
        <v>3433400</v>
      </c>
      <c r="E17" s="153">
        <v>3053286</v>
      </c>
      <c r="F17" s="153"/>
      <c r="G17" s="133"/>
      <c r="H17" s="133"/>
      <c r="I17" s="133"/>
      <c r="J17" s="133"/>
      <c r="K17" s="133"/>
      <c r="L17" s="133"/>
      <c r="M17" s="133"/>
      <c r="N17" s="133"/>
    </row>
    <row r="18" spans="1:14">
      <c r="A18" s="133"/>
      <c r="B18" s="133" t="s">
        <v>318</v>
      </c>
      <c r="C18" s="153">
        <v>819</v>
      </c>
      <c r="D18" s="153">
        <v>4002223</v>
      </c>
      <c r="E18" s="153">
        <v>3559136</v>
      </c>
      <c r="F18" s="153"/>
      <c r="G18" s="133"/>
      <c r="H18" s="133"/>
      <c r="I18" s="133"/>
      <c r="J18" s="133"/>
      <c r="K18" s="133"/>
      <c r="L18" s="133"/>
      <c r="M18" s="133"/>
      <c r="N18" s="133"/>
    </row>
    <row r="19" spans="1:14">
      <c r="A19" s="133"/>
      <c r="B19" s="133"/>
      <c r="C19" s="153">
        <f>SUM(C7:C18)</f>
        <v>8542.08</v>
      </c>
      <c r="D19" s="153">
        <f t="shared" ref="D19:E19" si="0">SUM(D7:D18)</f>
        <v>42061005</v>
      </c>
      <c r="E19" s="153">
        <f t="shared" si="0"/>
        <v>37404416</v>
      </c>
      <c r="F19" s="153"/>
      <c r="G19" s="133"/>
      <c r="H19" s="133"/>
      <c r="I19" s="133"/>
      <c r="J19" s="133"/>
      <c r="K19" s="133"/>
      <c r="L19" s="133"/>
      <c r="M19" s="133"/>
      <c r="N19" s="133"/>
    </row>
    <row r="20" spans="1:14">
      <c r="A20" s="133"/>
      <c r="B20" s="133"/>
      <c r="C20" s="153"/>
      <c r="D20" s="153"/>
      <c r="E20" s="153">
        <f>+D19+E19</f>
        <v>79465421</v>
      </c>
      <c r="F20" s="153"/>
      <c r="G20" s="133"/>
      <c r="H20" s="133"/>
      <c r="I20" s="133"/>
      <c r="J20" s="133"/>
      <c r="K20" s="133"/>
      <c r="L20" s="133"/>
      <c r="M20" s="133"/>
      <c r="N20" s="133"/>
    </row>
  </sheetData>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sheetPr>
    <tabColor theme="5" tint="-0.249977111117893"/>
  </sheetPr>
  <dimension ref="A1:N35"/>
  <sheetViews>
    <sheetView topLeftCell="C1" workbookViewId="0">
      <selection activeCell="A2" sqref="A2:N2"/>
    </sheetView>
  </sheetViews>
  <sheetFormatPr baseColWidth="10" defaultRowHeight="15"/>
  <cols>
    <col min="2" max="2" width="37" bestFit="1" customWidth="1"/>
    <col min="4" max="4" width="19.5703125" bestFit="1" customWidth="1"/>
    <col min="5" max="5" width="14" bestFit="1" customWidth="1"/>
    <col min="6" max="6" width="15.140625" bestFit="1" customWidth="1"/>
    <col min="7" max="7" width="14.140625" bestFit="1" customWidth="1"/>
    <col min="10" max="10" width="12" bestFit="1" customWidth="1"/>
  </cols>
  <sheetData>
    <row r="1" spans="1:14" ht="51.75" thickBot="1">
      <c r="A1" s="238" t="s">
        <v>77</v>
      </c>
      <c r="B1" s="238" t="s">
        <v>0</v>
      </c>
      <c r="C1" s="238" t="s">
        <v>1</v>
      </c>
      <c r="D1" s="238" t="s">
        <v>78</v>
      </c>
      <c r="E1" s="238" t="s">
        <v>4</v>
      </c>
      <c r="F1" s="238" t="s">
        <v>5</v>
      </c>
      <c r="G1" s="239" t="s">
        <v>79</v>
      </c>
      <c r="H1" s="239" t="s">
        <v>80</v>
      </c>
      <c r="I1" s="239" t="s">
        <v>81</v>
      </c>
      <c r="J1" s="238" t="s">
        <v>82</v>
      </c>
      <c r="K1" s="240" t="s">
        <v>27</v>
      </c>
      <c r="L1" s="240" t="s">
        <v>28</v>
      </c>
      <c r="M1" s="240" t="s">
        <v>83</v>
      </c>
      <c r="N1" s="238" t="s">
        <v>7</v>
      </c>
    </row>
    <row r="2" spans="1:14" ht="15.75" thickBot="1">
      <c r="A2" t="s">
        <v>662</v>
      </c>
      <c r="B2" t="s">
        <v>320</v>
      </c>
      <c r="C2" t="s">
        <v>10</v>
      </c>
      <c r="D2" t="s">
        <v>20</v>
      </c>
      <c r="G2" s="235">
        <v>92289</v>
      </c>
      <c r="H2" s="285">
        <v>48039</v>
      </c>
      <c r="I2" s="228">
        <f>SUM(F2:H2)</f>
        <v>140328</v>
      </c>
      <c r="J2">
        <v>1.4259999999999999</v>
      </c>
      <c r="K2" s="422">
        <v>553000</v>
      </c>
      <c r="L2" s="422">
        <v>332000</v>
      </c>
      <c r="M2" s="313" t="s">
        <v>338</v>
      </c>
      <c r="N2" s="313" t="s">
        <v>663</v>
      </c>
    </row>
    <row r="3" spans="1:14" s="313" customFormat="1" ht="15.75" thickBot="1"/>
    <row r="4" spans="1:14" ht="15.75" thickBot="1">
      <c r="B4" s="155" t="s">
        <v>319</v>
      </c>
      <c r="C4" s="472" t="s">
        <v>320</v>
      </c>
      <c r="D4" s="473"/>
      <c r="E4" s="473"/>
      <c r="F4" s="474"/>
    </row>
    <row r="5" spans="1:14" ht="15.75" thickBot="1">
      <c r="B5" s="157" t="s">
        <v>2</v>
      </c>
      <c r="C5" s="472" t="s">
        <v>271</v>
      </c>
      <c r="D5" s="473"/>
      <c r="E5" s="473"/>
      <c r="F5" s="474"/>
    </row>
    <row r="6" spans="1:14" ht="70.5" customHeight="1" thickBot="1">
      <c r="B6" s="157" t="s">
        <v>321</v>
      </c>
      <c r="C6" s="472" t="s">
        <v>322</v>
      </c>
      <c r="D6" s="473"/>
      <c r="E6" s="473"/>
      <c r="F6" s="474"/>
    </row>
    <row r="7" spans="1:14" ht="15.75" thickBot="1">
      <c r="B7" s="157" t="s">
        <v>323</v>
      </c>
      <c r="C7" s="472" t="s">
        <v>324</v>
      </c>
      <c r="D7" s="473"/>
      <c r="E7" s="473"/>
      <c r="F7" s="474"/>
    </row>
    <row r="8" spans="1:14" ht="15.75" thickBot="1">
      <c r="B8" s="157" t="s">
        <v>161</v>
      </c>
      <c r="C8" s="472">
        <v>9979</v>
      </c>
      <c r="D8" s="473"/>
      <c r="E8" s="473"/>
      <c r="F8" s="474"/>
    </row>
    <row r="9" spans="1:14" ht="15.75" thickBot="1">
      <c r="B9" s="157" t="s">
        <v>5</v>
      </c>
      <c r="C9" s="472">
        <v>990</v>
      </c>
      <c r="D9" s="473"/>
      <c r="E9" s="473"/>
      <c r="F9" s="474"/>
    </row>
    <row r="10" spans="1:14" ht="15.75" thickBot="1">
      <c r="B10" s="160" t="s">
        <v>124</v>
      </c>
      <c r="C10" s="163" t="s">
        <v>326</v>
      </c>
      <c r="D10" s="163" t="s">
        <v>327</v>
      </c>
      <c r="F10" s="166"/>
    </row>
    <row r="11" spans="1:14">
      <c r="B11" s="160" t="s">
        <v>325</v>
      </c>
      <c r="C11" s="164">
        <v>2011</v>
      </c>
      <c r="D11" s="165">
        <v>91296</v>
      </c>
      <c r="F11" s="166"/>
    </row>
    <row r="12" spans="1:14">
      <c r="B12" s="161"/>
      <c r="C12" s="164">
        <v>2012</v>
      </c>
      <c r="D12" s="165">
        <v>91649</v>
      </c>
      <c r="F12" s="166"/>
    </row>
    <row r="13" spans="1:14">
      <c r="B13" s="161"/>
      <c r="C13" s="164">
        <v>2013</v>
      </c>
      <c r="D13" s="165">
        <v>91977</v>
      </c>
      <c r="F13" s="166"/>
    </row>
    <row r="14" spans="1:14" ht="15.75" thickBot="1">
      <c r="B14" s="162"/>
      <c r="C14" s="234">
        <v>2014</v>
      </c>
      <c r="D14" s="235">
        <v>92289</v>
      </c>
      <c r="E14" s="158"/>
      <c r="F14" s="159"/>
    </row>
    <row r="15" spans="1:14" ht="15.75" thickBot="1">
      <c r="B15" s="160" t="s">
        <v>6</v>
      </c>
      <c r="C15" s="285">
        <v>48039</v>
      </c>
      <c r="D15" s="224"/>
      <c r="E15" s="224"/>
      <c r="F15" s="225"/>
    </row>
    <row r="16" spans="1:14" ht="15.75" thickBot="1">
      <c r="B16" s="478" t="s">
        <v>329</v>
      </c>
      <c r="C16" s="169" t="s">
        <v>326</v>
      </c>
      <c r="D16" s="169" t="s">
        <v>330</v>
      </c>
      <c r="E16" s="169" t="s">
        <v>331</v>
      </c>
      <c r="F16" s="170" t="s">
        <v>332</v>
      </c>
    </row>
    <row r="17" spans="2:7" ht="15.75" thickBot="1">
      <c r="B17" s="479"/>
      <c r="C17" s="171">
        <v>2011</v>
      </c>
      <c r="D17" s="167">
        <v>633500545</v>
      </c>
      <c r="E17" s="167">
        <v>192077240</v>
      </c>
      <c r="F17" s="168">
        <v>167311827</v>
      </c>
    </row>
    <row r="18" spans="2:7" ht="15.75" thickBot="1">
      <c r="B18" s="479"/>
      <c r="C18" s="171">
        <v>2012</v>
      </c>
      <c r="D18" s="167">
        <v>715843590</v>
      </c>
      <c r="E18" s="167">
        <v>201556051</v>
      </c>
      <c r="F18" s="168">
        <v>172709457</v>
      </c>
    </row>
    <row r="19" spans="2:7" ht="15.75" thickBot="1">
      <c r="B19" s="479"/>
      <c r="C19" s="171">
        <v>2013</v>
      </c>
      <c r="D19" s="167">
        <v>737752980</v>
      </c>
      <c r="E19" s="167">
        <v>200550336</v>
      </c>
      <c r="F19" s="168">
        <v>162033755</v>
      </c>
    </row>
    <row r="20" spans="2:7" ht="15.75" thickBot="1">
      <c r="B20" s="480"/>
      <c r="C20" s="233">
        <v>2014</v>
      </c>
      <c r="D20" s="167">
        <v>837030</v>
      </c>
      <c r="E20" s="167">
        <v>218022</v>
      </c>
      <c r="F20" s="168">
        <v>189910</v>
      </c>
      <c r="G20" s="228">
        <f>SUM(D20:F20)</f>
        <v>1244962</v>
      </c>
    </row>
    <row r="21" spans="2:7" ht="30">
      <c r="B21" s="478" t="s">
        <v>333</v>
      </c>
      <c r="C21" s="487" t="s">
        <v>326</v>
      </c>
      <c r="D21" s="489" t="s">
        <v>334</v>
      </c>
      <c r="E21" s="174" t="s">
        <v>335</v>
      </c>
      <c r="F21" s="166"/>
    </row>
    <row r="22" spans="2:7" ht="15.75" thickBot="1">
      <c r="B22" s="479"/>
      <c r="C22" s="488"/>
      <c r="D22" s="490"/>
      <c r="E22" s="172" t="s">
        <v>336</v>
      </c>
      <c r="F22" s="166"/>
    </row>
    <row r="23" spans="2:7" ht="15.75" thickBot="1">
      <c r="B23" s="479"/>
      <c r="C23" s="169">
        <v>2011</v>
      </c>
      <c r="D23" s="173">
        <v>42544050</v>
      </c>
      <c r="E23" s="172">
        <v>1.2769999999999999</v>
      </c>
      <c r="F23" s="166"/>
    </row>
    <row r="24" spans="2:7" ht="15.75" thickBot="1">
      <c r="B24" s="479"/>
      <c r="C24" s="169">
        <v>2012</v>
      </c>
      <c r="D24" s="173">
        <v>43131390</v>
      </c>
      <c r="E24" s="172">
        <v>1.2889999999999999</v>
      </c>
      <c r="F24" s="166"/>
    </row>
    <row r="25" spans="2:7" ht="15.75" thickBot="1">
      <c r="B25" s="479"/>
      <c r="C25" s="169">
        <v>2013</v>
      </c>
      <c r="D25" s="173">
        <v>42896190</v>
      </c>
      <c r="E25" s="172">
        <v>1.2889999999999999</v>
      </c>
      <c r="F25" s="166"/>
    </row>
    <row r="26" spans="2:7" ht="15.75" thickBot="1">
      <c r="B26" s="480"/>
      <c r="C26" s="230">
        <v>2014</v>
      </c>
      <c r="D26" s="231">
        <v>48039360</v>
      </c>
      <c r="E26" s="232">
        <v>1.4259999999999999</v>
      </c>
      <c r="F26" s="159"/>
    </row>
    <row r="27" spans="2:7" ht="15.75" thickBot="1">
      <c r="B27" s="157" t="s">
        <v>232</v>
      </c>
      <c r="C27" s="422">
        <v>553000</v>
      </c>
      <c r="D27" s="423"/>
      <c r="E27" s="423"/>
      <c r="F27" s="424"/>
    </row>
    <row r="28" spans="2:7" ht="42.75" customHeight="1" thickBot="1">
      <c r="B28" s="157" t="s">
        <v>41</v>
      </c>
      <c r="C28" s="422">
        <v>332000</v>
      </c>
      <c r="D28" s="423"/>
      <c r="E28" s="423"/>
      <c r="F28" s="424"/>
    </row>
    <row r="29" spans="2:7" ht="27" customHeight="1" thickBot="1">
      <c r="B29" s="157" t="s">
        <v>337</v>
      </c>
      <c r="C29" s="472" t="s">
        <v>338</v>
      </c>
      <c r="D29" s="473"/>
      <c r="E29" s="473"/>
      <c r="F29" s="474"/>
    </row>
    <row r="30" spans="2:7" ht="27" customHeight="1">
      <c r="B30" s="478" t="s">
        <v>7</v>
      </c>
      <c r="C30" s="481" t="s">
        <v>339</v>
      </c>
      <c r="D30" s="482"/>
      <c r="E30" s="482"/>
      <c r="F30" s="483"/>
    </row>
    <row r="31" spans="2:7" ht="27" customHeight="1">
      <c r="B31" s="479"/>
      <c r="C31" s="484" t="s">
        <v>340</v>
      </c>
      <c r="D31" s="485"/>
      <c r="E31" s="485"/>
      <c r="F31" s="486"/>
    </row>
    <row r="32" spans="2:7" ht="27" customHeight="1">
      <c r="B32" s="479"/>
      <c r="C32" s="484" t="s">
        <v>341</v>
      </c>
      <c r="D32" s="485"/>
      <c r="E32" s="485"/>
      <c r="F32" s="486"/>
    </row>
    <row r="33" spans="2:6" ht="27" customHeight="1">
      <c r="B33" s="479"/>
      <c r="C33" s="484" t="s">
        <v>342</v>
      </c>
      <c r="D33" s="485"/>
      <c r="E33" s="485"/>
      <c r="F33" s="486"/>
    </row>
    <row r="34" spans="2:6" ht="15.75" thickBot="1">
      <c r="B34" s="480"/>
      <c r="C34" s="475" t="s">
        <v>343</v>
      </c>
      <c r="D34" s="476"/>
      <c r="E34" s="476"/>
      <c r="F34" s="477"/>
    </row>
    <row r="35" spans="2:6">
      <c r="B35" s="175"/>
    </row>
  </sheetData>
  <mergeCells count="17">
    <mergeCell ref="C34:F34"/>
    <mergeCell ref="B16:B20"/>
    <mergeCell ref="B21:B26"/>
    <mergeCell ref="C29:F29"/>
    <mergeCell ref="B30:B34"/>
    <mergeCell ref="C30:F30"/>
    <mergeCell ref="C31:F31"/>
    <mergeCell ref="C32:F32"/>
    <mergeCell ref="C33:F33"/>
    <mergeCell ref="C21:C22"/>
    <mergeCell ref="D21:D22"/>
    <mergeCell ref="C9:F9"/>
    <mergeCell ref="C4:F4"/>
    <mergeCell ref="C5:F5"/>
    <mergeCell ref="C6:F6"/>
    <mergeCell ref="C7:F7"/>
    <mergeCell ref="C8:F8"/>
  </mergeCells>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dimension ref="A1:O66"/>
  <sheetViews>
    <sheetView workbookViewId="0">
      <pane ySplit="1" topLeftCell="A2" activePane="bottomLeft" state="frozen"/>
      <selection pane="bottomLeft"/>
    </sheetView>
  </sheetViews>
  <sheetFormatPr baseColWidth="10" defaultRowHeight="12.75"/>
  <cols>
    <col min="1" max="1" width="14.140625" style="455" bestFit="1" customWidth="1"/>
    <col min="2" max="2" width="18.5703125" style="455" customWidth="1"/>
    <col min="3" max="3" width="11.85546875" style="455" bestFit="1" customWidth="1"/>
    <col min="4" max="4" width="15.42578125" style="455" bestFit="1" customWidth="1"/>
    <col min="5" max="5" width="10.7109375" style="455" bestFit="1" customWidth="1"/>
    <col min="6" max="6" width="8.7109375" style="455" bestFit="1" customWidth="1"/>
    <col min="7" max="7" width="13" style="455" customWidth="1"/>
    <col min="8" max="8" width="10.7109375" style="455" bestFit="1" customWidth="1"/>
    <col min="9" max="9" width="16.28515625" style="458" bestFit="1" customWidth="1"/>
    <col min="10" max="10" width="11.42578125" style="455" bestFit="1" customWidth="1"/>
    <col min="11" max="11" width="13.5703125" style="455" bestFit="1" customWidth="1"/>
    <col min="12" max="12" width="12.5703125" style="455" bestFit="1" customWidth="1"/>
    <col min="13" max="13" width="19.85546875" style="455" customWidth="1"/>
    <col min="14" max="14" width="45.42578125" style="455" customWidth="1"/>
    <col min="15" max="16384" width="11.42578125" style="455"/>
  </cols>
  <sheetData>
    <row r="1" spans="1:15" ht="51">
      <c r="A1" s="449" t="s">
        <v>77</v>
      </c>
      <c r="B1" s="449" t="s">
        <v>0</v>
      </c>
      <c r="C1" s="449" t="s">
        <v>1</v>
      </c>
      <c r="D1" s="449" t="s">
        <v>78</v>
      </c>
      <c r="E1" s="449" t="s">
        <v>4</v>
      </c>
      <c r="F1" s="449" t="s">
        <v>5</v>
      </c>
      <c r="G1" s="450" t="s">
        <v>79</v>
      </c>
      <c r="H1" s="450" t="s">
        <v>80</v>
      </c>
      <c r="I1" s="457" t="s">
        <v>81</v>
      </c>
      <c r="J1" s="449" t="s">
        <v>82</v>
      </c>
      <c r="K1" s="451" t="s">
        <v>27</v>
      </c>
      <c r="L1" s="451" t="s">
        <v>28</v>
      </c>
      <c r="M1" s="451" t="s">
        <v>83</v>
      </c>
      <c r="N1" s="449" t="s">
        <v>7</v>
      </c>
    </row>
    <row r="2" spans="1:15" ht="51">
      <c r="A2" s="426" t="s">
        <v>84</v>
      </c>
      <c r="B2" s="426" t="s">
        <v>666</v>
      </c>
      <c r="C2" s="426" t="s">
        <v>86</v>
      </c>
      <c r="D2" s="426" t="s">
        <v>87</v>
      </c>
      <c r="E2" s="429" t="s">
        <v>134</v>
      </c>
      <c r="F2" s="429" t="s">
        <v>252</v>
      </c>
      <c r="G2" s="195">
        <v>148220</v>
      </c>
      <c r="H2" s="195">
        <v>77012</v>
      </c>
      <c r="I2" s="442">
        <v>685407</v>
      </c>
      <c r="J2" s="26">
        <f>+H2*1000/G2/365</f>
        <v>1.4235041210492365</v>
      </c>
      <c r="K2" s="429"/>
      <c r="L2" s="429"/>
      <c r="M2" s="429"/>
      <c r="N2" s="426"/>
    </row>
    <row r="3" spans="1:15" ht="38.25">
      <c r="A3" s="426" t="s">
        <v>84</v>
      </c>
      <c r="B3" s="426" t="s">
        <v>667</v>
      </c>
      <c r="C3" s="426" t="s">
        <v>10</v>
      </c>
      <c r="D3" s="426" t="s">
        <v>90</v>
      </c>
      <c r="E3" s="429" t="s">
        <v>134</v>
      </c>
      <c r="F3" s="429" t="s">
        <v>252</v>
      </c>
      <c r="G3" s="195"/>
      <c r="H3" s="195"/>
      <c r="I3" s="442"/>
      <c r="J3" s="26"/>
      <c r="K3" s="429"/>
      <c r="L3" s="429"/>
      <c r="M3" s="429"/>
      <c r="N3" s="426"/>
    </row>
    <row r="4" spans="1:15" ht="38.25">
      <c r="A4" s="426" t="s">
        <v>105</v>
      </c>
      <c r="B4" s="426" t="s">
        <v>667</v>
      </c>
      <c r="C4" s="426" t="s">
        <v>10</v>
      </c>
      <c r="D4" s="426" t="s">
        <v>90</v>
      </c>
      <c r="E4" s="429" t="s">
        <v>134</v>
      </c>
      <c r="F4" s="429" t="s">
        <v>252</v>
      </c>
      <c r="G4" s="195">
        <v>95961</v>
      </c>
      <c r="H4" s="195">
        <v>38113</v>
      </c>
      <c r="I4" s="442">
        <v>1051289</v>
      </c>
      <c r="J4" s="26">
        <v>1.08</v>
      </c>
      <c r="K4" s="429" t="s">
        <v>108</v>
      </c>
      <c r="L4" s="429" t="s">
        <v>109</v>
      </c>
      <c r="M4" s="429" t="s">
        <v>85</v>
      </c>
      <c r="N4" s="426" t="s">
        <v>110</v>
      </c>
    </row>
    <row r="5" spans="1:15" ht="38.25">
      <c r="A5" s="429" t="s">
        <v>130</v>
      </c>
      <c r="B5" s="426" t="s">
        <v>667</v>
      </c>
      <c r="C5" s="426" t="s">
        <v>10</v>
      </c>
      <c r="D5" s="429" t="s">
        <v>133</v>
      </c>
      <c r="E5" s="429" t="s">
        <v>134</v>
      </c>
      <c r="F5" s="429" t="s">
        <v>252</v>
      </c>
      <c r="G5" s="447">
        <v>75538</v>
      </c>
      <c r="H5" s="447">
        <v>38191.339999999997</v>
      </c>
      <c r="I5" s="442">
        <v>1969919</v>
      </c>
      <c r="J5" s="429">
        <v>1.38</v>
      </c>
      <c r="K5" s="429" t="s">
        <v>136</v>
      </c>
      <c r="L5" s="429" t="s">
        <v>137</v>
      </c>
      <c r="M5" s="429" t="s">
        <v>138</v>
      </c>
      <c r="N5" s="429"/>
    </row>
    <row r="6" spans="1:15" ht="51">
      <c r="A6" s="426" t="s">
        <v>140</v>
      </c>
      <c r="B6" s="426" t="s">
        <v>666</v>
      </c>
      <c r="C6" s="426" t="s">
        <v>86</v>
      </c>
      <c r="D6" s="426" t="s">
        <v>87</v>
      </c>
      <c r="E6" s="429" t="s">
        <v>134</v>
      </c>
      <c r="F6" s="429" t="s">
        <v>252</v>
      </c>
      <c r="G6" s="195">
        <v>180000</v>
      </c>
      <c r="H6" s="195">
        <v>78446</v>
      </c>
      <c r="I6" s="442">
        <v>727410</v>
      </c>
      <c r="J6" s="452">
        <f>+H6*1000/G6/365</f>
        <v>1.1940030441400304</v>
      </c>
      <c r="K6" s="429"/>
      <c r="L6" s="429"/>
      <c r="M6" s="429"/>
      <c r="N6" s="426"/>
    </row>
    <row r="7" spans="1:15" ht="51">
      <c r="A7" s="426" t="s">
        <v>145</v>
      </c>
      <c r="B7" s="426" t="s">
        <v>666</v>
      </c>
      <c r="C7" s="426" t="s">
        <v>86</v>
      </c>
      <c r="D7" s="426" t="s">
        <v>87</v>
      </c>
      <c r="E7" s="429" t="s">
        <v>134</v>
      </c>
      <c r="F7" s="429" t="s">
        <v>252</v>
      </c>
      <c r="G7" s="195">
        <v>100000</v>
      </c>
      <c r="H7" s="195">
        <v>44500</v>
      </c>
      <c r="I7" s="442">
        <v>546272</v>
      </c>
      <c r="J7" s="26">
        <f>(H7*1000)/G7/365</f>
        <v>1.2191780821917808</v>
      </c>
      <c r="K7" s="429">
        <v>6306087</v>
      </c>
      <c r="L7" s="429">
        <v>341297</v>
      </c>
      <c r="M7" s="429" t="s">
        <v>149</v>
      </c>
      <c r="N7" s="426" t="s">
        <v>150</v>
      </c>
    </row>
    <row r="8" spans="1:15" ht="76.5">
      <c r="A8" s="426" t="s">
        <v>145</v>
      </c>
      <c r="B8" s="426" t="s">
        <v>667</v>
      </c>
      <c r="C8" s="426" t="s">
        <v>10</v>
      </c>
      <c r="D8" s="426" t="s">
        <v>90</v>
      </c>
      <c r="E8" s="429" t="s">
        <v>134</v>
      </c>
      <c r="F8" s="429" t="s">
        <v>252</v>
      </c>
      <c r="G8" s="195"/>
      <c r="H8" s="195"/>
      <c r="I8" s="442"/>
      <c r="J8" s="26"/>
      <c r="K8" s="429">
        <v>6351952</v>
      </c>
      <c r="L8" s="429">
        <v>331940</v>
      </c>
      <c r="M8" s="429" t="s">
        <v>149</v>
      </c>
      <c r="N8" s="426" t="s">
        <v>657</v>
      </c>
    </row>
    <row r="9" spans="1:15" ht="38.25">
      <c r="A9" s="429" t="s">
        <v>169</v>
      </c>
      <c r="B9" s="426" t="s">
        <v>667</v>
      </c>
      <c r="C9" s="426" t="s">
        <v>10</v>
      </c>
      <c r="D9" s="426" t="s">
        <v>90</v>
      </c>
      <c r="E9" s="429" t="s">
        <v>134</v>
      </c>
      <c r="F9" s="429" t="s">
        <v>252</v>
      </c>
      <c r="G9" s="430">
        <v>84195</v>
      </c>
      <c r="H9" s="430">
        <v>48265</v>
      </c>
      <c r="I9" s="447">
        <v>483150</v>
      </c>
      <c r="J9" s="452">
        <f>+H9*1000/(365*G9)</f>
        <v>1.5705549820337166</v>
      </c>
      <c r="K9" s="429">
        <v>6352781</v>
      </c>
      <c r="L9" s="429">
        <v>331311</v>
      </c>
      <c r="M9" s="429" t="s">
        <v>173</v>
      </c>
      <c r="N9" s="429"/>
      <c r="O9" s="456"/>
    </row>
    <row r="10" spans="1:15" ht="38.25">
      <c r="A10" s="426" t="s">
        <v>185</v>
      </c>
      <c r="B10" s="426" t="s">
        <v>667</v>
      </c>
      <c r="C10" s="426" t="s">
        <v>10</v>
      </c>
      <c r="D10" s="426" t="s">
        <v>90</v>
      </c>
      <c r="E10" s="429" t="s">
        <v>134</v>
      </c>
      <c r="F10" s="429" t="s">
        <v>252</v>
      </c>
      <c r="G10" s="195">
        <v>260000</v>
      </c>
      <c r="H10" s="195">
        <v>119386</v>
      </c>
      <c r="I10" s="442">
        <v>994881</v>
      </c>
      <c r="J10" s="452">
        <f>+H10*1000/G10/365</f>
        <v>1.2580189673340358</v>
      </c>
      <c r="K10" s="429" t="s">
        <v>190</v>
      </c>
      <c r="L10" s="429" t="s">
        <v>191</v>
      </c>
      <c r="M10" s="429" t="s">
        <v>192</v>
      </c>
      <c r="N10" s="426"/>
    </row>
    <row r="11" spans="1:15" ht="51">
      <c r="A11" s="426" t="s">
        <v>193</v>
      </c>
      <c r="B11" s="426" t="s">
        <v>666</v>
      </c>
      <c r="C11" s="426" t="s">
        <v>86</v>
      </c>
      <c r="D11" s="426" t="s">
        <v>87</v>
      </c>
      <c r="E11" s="429" t="s">
        <v>134</v>
      </c>
      <c r="F11" s="429" t="s">
        <v>252</v>
      </c>
      <c r="G11" s="195">
        <v>311415</v>
      </c>
      <c r="H11" s="195">
        <v>178262.42</v>
      </c>
      <c r="I11" s="442">
        <v>877846</v>
      </c>
      <c r="J11" s="431">
        <v>1.5680000000000001</v>
      </c>
      <c r="K11" s="429" t="s">
        <v>196</v>
      </c>
      <c r="L11" s="429" t="s">
        <v>197</v>
      </c>
      <c r="M11" s="429" t="s">
        <v>44</v>
      </c>
      <c r="N11" s="426"/>
    </row>
    <row r="12" spans="1:15" ht="38.25">
      <c r="A12" s="426" t="s">
        <v>193</v>
      </c>
      <c r="B12" s="426" t="s">
        <v>667</v>
      </c>
      <c r="C12" s="426" t="s">
        <v>10</v>
      </c>
      <c r="D12" s="426" t="s">
        <v>90</v>
      </c>
      <c r="E12" s="429" t="s">
        <v>134</v>
      </c>
      <c r="F12" s="429" t="s">
        <v>252</v>
      </c>
      <c r="G12" s="195">
        <v>311415</v>
      </c>
      <c r="H12" s="195">
        <v>178262.42</v>
      </c>
      <c r="I12" s="442">
        <v>764660</v>
      </c>
      <c r="J12" s="431">
        <v>1.5680000000000001</v>
      </c>
      <c r="K12" s="429" t="s">
        <v>201</v>
      </c>
      <c r="L12" s="429" t="s">
        <v>202</v>
      </c>
      <c r="M12" s="429" t="s">
        <v>44</v>
      </c>
      <c r="N12" s="426"/>
    </row>
    <row r="13" spans="1:15" ht="51">
      <c r="A13" s="427" t="s">
        <v>233</v>
      </c>
      <c r="B13" s="426" t="s">
        <v>666</v>
      </c>
      <c r="C13" s="427" t="s">
        <v>86</v>
      </c>
      <c r="D13" s="427" t="s">
        <v>87</v>
      </c>
      <c r="E13" s="429" t="s">
        <v>134</v>
      </c>
      <c r="F13" s="429" t="s">
        <v>252</v>
      </c>
      <c r="G13" s="445">
        <v>130808</v>
      </c>
      <c r="H13" s="445">
        <v>75629</v>
      </c>
      <c r="I13" s="453">
        <v>374139</v>
      </c>
      <c r="J13" s="427">
        <v>1.7</v>
      </c>
      <c r="K13" s="427" t="s">
        <v>237</v>
      </c>
      <c r="L13" s="427" t="s">
        <v>238</v>
      </c>
      <c r="M13" s="427" t="s">
        <v>239</v>
      </c>
      <c r="N13" s="427"/>
    </row>
    <row r="14" spans="1:15" ht="38.25">
      <c r="A14" s="427" t="s">
        <v>233</v>
      </c>
      <c r="B14" s="426" t="s">
        <v>667</v>
      </c>
      <c r="C14" s="426" t="s">
        <v>10</v>
      </c>
      <c r="D14" s="426" t="s">
        <v>90</v>
      </c>
      <c r="E14" s="429" t="s">
        <v>134</v>
      </c>
      <c r="F14" s="429" t="s">
        <v>252</v>
      </c>
      <c r="G14" s="445">
        <v>130808</v>
      </c>
      <c r="H14" s="445">
        <v>75629</v>
      </c>
      <c r="I14" s="453">
        <v>325899</v>
      </c>
      <c r="J14" s="427">
        <v>1.7</v>
      </c>
      <c r="K14" s="427" t="s">
        <v>242</v>
      </c>
      <c r="L14" s="427" t="s">
        <v>243</v>
      </c>
      <c r="M14" s="427" t="s">
        <v>239</v>
      </c>
      <c r="N14" s="427" t="s">
        <v>244</v>
      </c>
    </row>
    <row r="15" spans="1:15" ht="51">
      <c r="A15" s="426" t="s">
        <v>87</v>
      </c>
      <c r="B15" s="426" t="s">
        <v>667</v>
      </c>
      <c r="C15" s="426" t="s">
        <v>10</v>
      </c>
      <c r="D15" s="426" t="s">
        <v>90</v>
      </c>
      <c r="E15" s="429" t="s">
        <v>134</v>
      </c>
      <c r="F15" s="429" t="s">
        <v>252</v>
      </c>
      <c r="G15" s="195">
        <v>203000</v>
      </c>
      <c r="H15" s="195">
        <v>76466</v>
      </c>
      <c r="I15" s="442">
        <v>453234</v>
      </c>
      <c r="J15" s="427">
        <v>1.03</v>
      </c>
      <c r="K15" s="446">
        <v>553000</v>
      </c>
      <c r="L15" s="446">
        <v>332000</v>
      </c>
      <c r="M15" s="446" t="s">
        <v>249</v>
      </c>
      <c r="N15" s="429"/>
    </row>
    <row r="16" spans="1:15" ht="51">
      <c r="A16" s="426" t="s">
        <v>250</v>
      </c>
      <c r="B16" s="426" t="s">
        <v>667</v>
      </c>
      <c r="C16" s="426" t="s">
        <v>10</v>
      </c>
      <c r="D16" s="426" t="s">
        <v>90</v>
      </c>
      <c r="E16" s="429" t="s">
        <v>134</v>
      </c>
      <c r="F16" s="429" t="s">
        <v>252</v>
      </c>
      <c r="G16" s="195">
        <v>284342</v>
      </c>
      <c r="H16" s="195">
        <v>117245</v>
      </c>
      <c r="I16" s="442">
        <v>1236000</v>
      </c>
      <c r="J16" s="427">
        <v>1.1299999999999999</v>
      </c>
      <c r="K16" s="446">
        <v>6553000</v>
      </c>
      <c r="L16" s="446">
        <v>332000</v>
      </c>
      <c r="M16" s="446" t="s">
        <v>249</v>
      </c>
      <c r="N16" s="429"/>
    </row>
    <row r="17" spans="1:14" ht="38.25">
      <c r="A17" s="426" t="s">
        <v>270</v>
      </c>
      <c r="B17" s="426" t="s">
        <v>667</v>
      </c>
      <c r="C17" s="426" t="s">
        <v>10</v>
      </c>
      <c r="D17" s="426" t="s">
        <v>90</v>
      </c>
      <c r="E17" s="429" t="s">
        <v>134</v>
      </c>
      <c r="F17" s="429" t="s">
        <v>252</v>
      </c>
      <c r="G17" s="195">
        <v>96762</v>
      </c>
      <c r="H17" s="195">
        <v>46715</v>
      </c>
      <c r="I17" s="442">
        <v>1380967</v>
      </c>
      <c r="J17" s="452">
        <f>+H17*1000/G17/365</f>
        <v>1.3226917733186891</v>
      </c>
      <c r="K17" s="195">
        <v>553000</v>
      </c>
      <c r="L17" s="195">
        <v>332000</v>
      </c>
      <c r="M17" s="429" t="s">
        <v>272</v>
      </c>
      <c r="N17" s="429"/>
    </row>
    <row r="18" spans="1:14" ht="51">
      <c r="A18" s="426" t="s">
        <v>279</v>
      </c>
      <c r="B18" s="426" t="s">
        <v>667</v>
      </c>
      <c r="C18" s="426" t="s">
        <v>10</v>
      </c>
      <c r="D18" s="426" t="s">
        <v>90</v>
      </c>
      <c r="E18" s="429" t="s">
        <v>134</v>
      </c>
      <c r="F18" s="429" t="s">
        <v>252</v>
      </c>
      <c r="G18" s="195">
        <v>104000</v>
      </c>
      <c r="H18" s="195">
        <v>53840</v>
      </c>
      <c r="I18" s="442">
        <v>1347700</v>
      </c>
      <c r="J18" s="452">
        <f>+H18*1000/G18/365</f>
        <v>1.4183350895679665</v>
      </c>
      <c r="K18" s="439">
        <v>553000</v>
      </c>
      <c r="L18" s="439">
        <v>332000</v>
      </c>
      <c r="M18" s="429" t="s">
        <v>280</v>
      </c>
      <c r="N18" s="429"/>
    </row>
    <row r="19" spans="1:14" ht="51">
      <c r="A19" s="426" t="s">
        <v>281</v>
      </c>
      <c r="B19" s="426" t="s">
        <v>666</v>
      </c>
      <c r="C19" s="426" t="s">
        <v>86</v>
      </c>
      <c r="D19" s="426" t="s">
        <v>90</v>
      </c>
      <c r="E19" s="429" t="s">
        <v>134</v>
      </c>
      <c r="F19" s="429" t="s">
        <v>252</v>
      </c>
      <c r="G19" s="195">
        <v>124130</v>
      </c>
      <c r="H19" s="195">
        <v>24762</v>
      </c>
      <c r="I19" s="442">
        <v>101590</v>
      </c>
      <c r="J19" s="452">
        <v>1.0563604881757855</v>
      </c>
      <c r="K19" s="429"/>
      <c r="L19" s="429"/>
      <c r="M19" s="429" t="s">
        <v>285</v>
      </c>
      <c r="N19" s="426" t="s">
        <v>286</v>
      </c>
    </row>
    <row r="20" spans="1:14" ht="38.25">
      <c r="A20" s="426" t="s">
        <v>281</v>
      </c>
      <c r="B20" s="426" t="s">
        <v>667</v>
      </c>
      <c r="C20" s="426" t="s">
        <v>10</v>
      </c>
      <c r="D20" s="426" t="s">
        <v>90</v>
      </c>
      <c r="E20" s="429" t="s">
        <v>134</v>
      </c>
      <c r="F20" s="429" t="s">
        <v>252</v>
      </c>
      <c r="G20" s="195">
        <v>124130</v>
      </c>
      <c r="H20" s="195">
        <v>23099</v>
      </c>
      <c r="I20" s="442">
        <v>171224</v>
      </c>
      <c r="J20" s="452">
        <v>1.0563604881757855</v>
      </c>
      <c r="K20" s="429"/>
      <c r="L20" s="429"/>
      <c r="M20" s="429" t="s">
        <v>288</v>
      </c>
      <c r="N20" s="426"/>
    </row>
    <row r="21" spans="1:14" ht="242.25">
      <c r="A21" s="426" t="s">
        <v>301</v>
      </c>
      <c r="B21" s="426" t="s">
        <v>667</v>
      </c>
      <c r="C21" s="426" t="s">
        <v>10</v>
      </c>
      <c r="D21" s="426" t="s">
        <v>90</v>
      </c>
      <c r="E21" s="429" t="s">
        <v>134</v>
      </c>
      <c r="F21" s="429" t="s">
        <v>252</v>
      </c>
      <c r="G21" s="195">
        <v>30000</v>
      </c>
      <c r="H21" s="195">
        <v>8542</v>
      </c>
      <c r="I21" s="442">
        <v>79465</v>
      </c>
      <c r="J21" s="26">
        <v>0.78</v>
      </c>
      <c r="K21" s="427" t="s">
        <v>305</v>
      </c>
      <c r="L21" s="427" t="s">
        <v>306</v>
      </c>
      <c r="M21" s="427" t="s">
        <v>658</v>
      </c>
      <c r="N21" s="429"/>
    </row>
    <row r="22" spans="1:14" ht="51">
      <c r="A22" s="426" t="s">
        <v>400</v>
      </c>
      <c r="B22" s="426" t="s">
        <v>666</v>
      </c>
      <c r="C22" s="426" t="s">
        <v>86</v>
      </c>
      <c r="D22" s="427" t="s">
        <v>87</v>
      </c>
      <c r="E22" s="429" t="s">
        <v>134</v>
      </c>
      <c r="F22" s="429" t="s">
        <v>252</v>
      </c>
      <c r="G22" s="195">
        <v>90000</v>
      </c>
      <c r="H22" s="195">
        <v>30000</v>
      </c>
      <c r="I22" s="442">
        <v>671610</v>
      </c>
      <c r="J22" s="452">
        <f>+H22*1000/G22/365</f>
        <v>0.91324200913242004</v>
      </c>
      <c r="K22" s="429"/>
      <c r="L22" s="429"/>
      <c r="M22" s="429"/>
      <c r="N22" s="426"/>
    </row>
    <row r="23" spans="1:14" ht="38.25">
      <c r="A23" s="426" t="s">
        <v>400</v>
      </c>
      <c r="B23" s="426" t="s">
        <v>667</v>
      </c>
      <c r="C23" s="426" t="s">
        <v>10</v>
      </c>
      <c r="D23" s="426" t="s">
        <v>90</v>
      </c>
      <c r="E23" s="429" t="s">
        <v>134</v>
      </c>
      <c r="F23" s="429" t="s">
        <v>252</v>
      </c>
      <c r="G23" s="195"/>
      <c r="H23" s="195"/>
      <c r="I23" s="442"/>
      <c r="J23" s="26"/>
      <c r="K23" s="429"/>
      <c r="L23" s="429"/>
      <c r="M23" s="429"/>
      <c r="N23" s="426"/>
    </row>
    <row r="24" spans="1:14" ht="38.25">
      <c r="A24" s="426" t="s">
        <v>507</v>
      </c>
      <c r="B24" s="426" t="s">
        <v>667</v>
      </c>
      <c r="C24" s="426" t="s">
        <v>10</v>
      </c>
      <c r="D24" s="426" t="s">
        <v>90</v>
      </c>
      <c r="E24" s="429" t="s">
        <v>134</v>
      </c>
      <c r="F24" s="429" t="s">
        <v>252</v>
      </c>
      <c r="G24" s="195">
        <v>17000</v>
      </c>
      <c r="H24" s="195">
        <v>5273</v>
      </c>
      <c r="I24" s="442">
        <f>30572784+10942867+10077748</f>
        <v>51593399</v>
      </c>
      <c r="J24" s="26" t="s">
        <v>508</v>
      </c>
      <c r="K24" s="429"/>
      <c r="L24" s="429"/>
      <c r="M24" s="429"/>
      <c r="N24" s="429"/>
    </row>
    <row r="25" spans="1:14" ht="38.25">
      <c r="A25" s="432" t="s">
        <v>517</v>
      </c>
      <c r="B25" s="426" t="s">
        <v>667</v>
      </c>
      <c r="C25" s="432" t="s">
        <v>10</v>
      </c>
      <c r="D25" s="426" t="s">
        <v>90</v>
      </c>
      <c r="E25" s="429" t="s">
        <v>134</v>
      </c>
      <c r="F25" s="429" t="s">
        <v>252</v>
      </c>
      <c r="G25" s="433">
        <v>151139</v>
      </c>
      <c r="H25" s="433">
        <v>59723</v>
      </c>
      <c r="I25" s="442">
        <v>1657765</v>
      </c>
      <c r="J25" s="434">
        <v>1.0826104283755125</v>
      </c>
      <c r="K25" s="433">
        <v>553000</v>
      </c>
      <c r="L25" s="433">
        <v>332000</v>
      </c>
      <c r="M25" s="435" t="s">
        <v>520</v>
      </c>
      <c r="N25" s="429"/>
    </row>
    <row r="26" spans="1:14" ht="38.25">
      <c r="A26" s="429" t="s">
        <v>526</v>
      </c>
      <c r="B26" s="426" t="s">
        <v>667</v>
      </c>
      <c r="C26" s="432" t="s">
        <v>10</v>
      </c>
      <c r="D26" s="426" t="s">
        <v>90</v>
      </c>
      <c r="E26" s="429" t="s">
        <v>134</v>
      </c>
      <c r="F26" s="429" t="s">
        <v>252</v>
      </c>
      <c r="G26" s="433">
        <v>80000</v>
      </c>
      <c r="H26" s="433">
        <v>42000</v>
      </c>
      <c r="I26" s="442">
        <v>50000</v>
      </c>
      <c r="J26" s="452">
        <f>+H26*1000/G26/365</f>
        <v>1.4383561643835616</v>
      </c>
      <c r="K26" s="433">
        <v>553000</v>
      </c>
      <c r="L26" s="433">
        <v>332000</v>
      </c>
      <c r="M26" s="435" t="s">
        <v>520</v>
      </c>
      <c r="N26" s="432"/>
    </row>
    <row r="27" spans="1:14" ht="51">
      <c r="A27" s="426" t="s">
        <v>533</v>
      </c>
      <c r="B27" s="426" t="s">
        <v>666</v>
      </c>
      <c r="C27" s="426" t="s">
        <v>86</v>
      </c>
      <c r="D27" s="426" t="s">
        <v>87</v>
      </c>
      <c r="E27" s="429" t="s">
        <v>134</v>
      </c>
      <c r="F27" s="429" t="s">
        <v>252</v>
      </c>
      <c r="G27" s="195">
        <v>150546</v>
      </c>
      <c r="H27" s="195"/>
      <c r="I27" s="442">
        <v>354915</v>
      </c>
      <c r="J27" s="452">
        <v>1.146038465647145</v>
      </c>
      <c r="K27" s="429" t="s">
        <v>535</v>
      </c>
      <c r="L27" s="429" t="s">
        <v>536</v>
      </c>
      <c r="M27" s="429" t="s">
        <v>537</v>
      </c>
      <c r="N27" s="426" t="s">
        <v>538</v>
      </c>
    </row>
    <row r="28" spans="1:14" ht="38.25">
      <c r="A28" s="426" t="s">
        <v>533</v>
      </c>
      <c r="B28" s="426" t="s">
        <v>667</v>
      </c>
      <c r="C28" s="426" t="s">
        <v>10</v>
      </c>
      <c r="D28" s="426" t="s">
        <v>90</v>
      </c>
      <c r="E28" s="429" t="s">
        <v>134</v>
      </c>
      <c r="F28" s="429" t="s">
        <v>252</v>
      </c>
      <c r="G28" s="195">
        <v>150546</v>
      </c>
      <c r="H28" s="195">
        <v>62974</v>
      </c>
      <c r="I28" s="442">
        <v>309154</v>
      </c>
      <c r="J28" s="452">
        <f>+H28*1000/G28/365</f>
        <v>1.146038465647145</v>
      </c>
      <c r="K28" s="439">
        <v>553000</v>
      </c>
      <c r="L28" s="439">
        <v>332000</v>
      </c>
      <c r="M28" s="429" t="s">
        <v>540</v>
      </c>
      <c r="N28" s="426" t="s">
        <v>541</v>
      </c>
    </row>
    <row r="29" spans="1:14" ht="38.25">
      <c r="A29" s="426" t="s">
        <v>527</v>
      </c>
      <c r="B29" s="426" t="s">
        <v>667</v>
      </c>
      <c r="C29" s="426" t="s">
        <v>10</v>
      </c>
      <c r="D29" s="426" t="s">
        <v>90</v>
      </c>
      <c r="E29" s="429" t="s">
        <v>134</v>
      </c>
      <c r="F29" s="429" t="s">
        <v>252</v>
      </c>
      <c r="G29" s="195">
        <v>114000</v>
      </c>
      <c r="H29" s="195">
        <v>36765</v>
      </c>
      <c r="I29" s="442">
        <v>1103725</v>
      </c>
      <c r="J29" s="26">
        <v>0.88</v>
      </c>
      <c r="K29" s="429">
        <v>553000</v>
      </c>
      <c r="L29" s="429">
        <v>332000</v>
      </c>
      <c r="M29" s="429" t="s">
        <v>194</v>
      </c>
      <c r="N29" s="426" t="s">
        <v>529</v>
      </c>
    </row>
    <row r="30" spans="1:14" ht="51">
      <c r="A30" s="426" t="s">
        <v>94</v>
      </c>
      <c r="B30" s="426" t="s">
        <v>666</v>
      </c>
      <c r="C30" s="426" t="s">
        <v>86</v>
      </c>
      <c r="D30" s="426" t="s">
        <v>87</v>
      </c>
      <c r="E30" s="429" t="s">
        <v>134</v>
      </c>
      <c r="F30" s="429" t="s">
        <v>252</v>
      </c>
      <c r="G30" s="195">
        <v>549780</v>
      </c>
      <c r="H30" s="436">
        <v>250338.12</v>
      </c>
      <c r="I30" s="442">
        <v>2400547</v>
      </c>
      <c r="J30" s="26">
        <f>+H30*1000/G30/365</f>
        <v>1.2475133017092266</v>
      </c>
      <c r="K30" s="429"/>
      <c r="L30" s="429"/>
      <c r="M30" s="429"/>
      <c r="N30" s="426"/>
    </row>
    <row r="31" spans="1:14" ht="38.25">
      <c r="A31" s="426" t="s">
        <v>94</v>
      </c>
      <c r="B31" s="426" t="s">
        <v>667</v>
      </c>
      <c r="C31" s="426" t="s">
        <v>10</v>
      </c>
      <c r="D31" s="426" t="s">
        <v>90</v>
      </c>
      <c r="E31" s="429" t="s">
        <v>134</v>
      </c>
      <c r="F31" s="429" t="s">
        <v>252</v>
      </c>
      <c r="G31" s="195">
        <v>549780</v>
      </c>
      <c r="H31" s="436">
        <v>20061.8</v>
      </c>
      <c r="I31" s="442">
        <v>37756</v>
      </c>
      <c r="J31" s="26">
        <v>0.1</v>
      </c>
      <c r="K31" s="429"/>
      <c r="L31" s="429"/>
      <c r="M31" s="429"/>
      <c r="N31" s="426" t="s">
        <v>551</v>
      </c>
    </row>
    <row r="32" spans="1:14" ht="38.25">
      <c r="A32" s="426" t="s">
        <v>580</v>
      </c>
      <c r="B32" s="426" t="s">
        <v>667</v>
      </c>
      <c r="C32" s="426" t="s">
        <v>10</v>
      </c>
      <c r="D32" s="426" t="s">
        <v>90</v>
      </c>
      <c r="E32" s="429" t="s">
        <v>134</v>
      </c>
      <c r="F32" s="429" t="s">
        <v>252</v>
      </c>
      <c r="G32" s="195">
        <v>133256</v>
      </c>
      <c r="H32" s="195">
        <v>43520</v>
      </c>
      <c r="I32" s="442">
        <v>586871</v>
      </c>
      <c r="J32" s="26">
        <v>0.90700000000000003</v>
      </c>
      <c r="K32" s="429"/>
      <c r="L32" s="429"/>
      <c r="M32" s="429"/>
      <c r="N32" s="426"/>
    </row>
    <row r="33" spans="1:14" ht="51">
      <c r="A33" s="429" t="s">
        <v>662</v>
      </c>
      <c r="B33" s="426" t="s">
        <v>667</v>
      </c>
      <c r="C33" s="429" t="s">
        <v>10</v>
      </c>
      <c r="D33" s="426" t="s">
        <v>90</v>
      </c>
      <c r="E33" s="429" t="s">
        <v>134</v>
      </c>
      <c r="F33" s="429" t="s">
        <v>252</v>
      </c>
      <c r="G33" s="445">
        <v>92289</v>
      </c>
      <c r="H33" s="439">
        <v>48039</v>
      </c>
      <c r="I33" s="447">
        <f>SUM(F33:H33)</f>
        <v>140328</v>
      </c>
      <c r="J33" s="429">
        <v>1.42</v>
      </c>
      <c r="K33" s="439">
        <v>553000</v>
      </c>
      <c r="L33" s="439">
        <v>332000</v>
      </c>
      <c r="M33" s="429" t="s">
        <v>338</v>
      </c>
      <c r="N33" s="429" t="s">
        <v>663</v>
      </c>
    </row>
    <row r="34" spans="1:14" ht="25.5">
      <c r="A34" s="429" t="s">
        <v>111</v>
      </c>
      <c r="B34" s="426" t="s">
        <v>112</v>
      </c>
      <c r="C34" s="426" t="s">
        <v>86</v>
      </c>
      <c r="D34" s="426" t="s">
        <v>114</v>
      </c>
      <c r="E34" s="426" t="s">
        <v>220</v>
      </c>
      <c r="F34" s="426" t="s">
        <v>100</v>
      </c>
      <c r="G34" s="195">
        <v>97386</v>
      </c>
      <c r="H34" s="195">
        <v>50289.63</v>
      </c>
      <c r="I34" s="442">
        <v>130223</v>
      </c>
      <c r="J34" s="437">
        <v>1.414780442971044</v>
      </c>
      <c r="K34" s="429">
        <v>6274505</v>
      </c>
      <c r="L34" s="429">
        <v>341317</v>
      </c>
      <c r="M34" s="429" t="s">
        <v>117</v>
      </c>
      <c r="N34" s="429"/>
    </row>
    <row r="35" spans="1:14" ht="25.5">
      <c r="A35" s="426" t="s">
        <v>111</v>
      </c>
      <c r="B35" s="426" t="s">
        <v>99</v>
      </c>
      <c r="C35" s="426" t="s">
        <v>10</v>
      </c>
      <c r="D35" s="426" t="s">
        <v>11</v>
      </c>
      <c r="E35" s="426" t="s">
        <v>221</v>
      </c>
      <c r="F35" s="426" t="s">
        <v>100</v>
      </c>
      <c r="G35" s="438">
        <v>97386</v>
      </c>
      <c r="H35" s="438">
        <v>50289.63</v>
      </c>
      <c r="I35" s="442">
        <v>419066</v>
      </c>
      <c r="J35" s="452">
        <f>+H34*1000/G34/365</f>
        <v>1.414780442971044</v>
      </c>
      <c r="K35" s="429">
        <v>6268702</v>
      </c>
      <c r="L35" s="429">
        <v>332967</v>
      </c>
      <c r="M35" s="429" t="s">
        <v>117</v>
      </c>
      <c r="N35" s="429"/>
    </row>
    <row r="36" spans="1:14" ht="25.5">
      <c r="A36" s="426" t="s">
        <v>98</v>
      </c>
      <c r="B36" s="426" t="s">
        <v>99</v>
      </c>
      <c r="C36" s="426" t="s">
        <v>10</v>
      </c>
      <c r="D36" s="426" t="s">
        <v>11</v>
      </c>
      <c r="E36" s="426" t="s">
        <v>669</v>
      </c>
      <c r="F36" s="426" t="s">
        <v>100</v>
      </c>
      <c r="G36" s="195">
        <v>25000</v>
      </c>
      <c r="H36" s="195">
        <v>11642</v>
      </c>
      <c r="I36" s="442">
        <v>327638</v>
      </c>
      <c r="J36" s="452">
        <f>+H36*1000/G36/365</f>
        <v>1.2758356164383562</v>
      </c>
      <c r="K36" s="429" t="s">
        <v>101</v>
      </c>
      <c r="L36" s="429" t="s">
        <v>102</v>
      </c>
      <c r="M36" s="429" t="s">
        <v>103</v>
      </c>
      <c r="N36" s="426" t="s">
        <v>104</v>
      </c>
    </row>
    <row r="37" spans="1:14" ht="25.5">
      <c r="A37" s="426" t="s">
        <v>395</v>
      </c>
      <c r="B37" s="426" t="s">
        <v>32</v>
      </c>
      <c r="C37" s="426" t="s">
        <v>10</v>
      </c>
      <c r="D37" s="426" t="s">
        <v>11</v>
      </c>
      <c r="E37" s="426" t="s">
        <v>670</v>
      </c>
      <c r="F37" s="426" t="s">
        <v>100</v>
      </c>
      <c r="G37" s="195">
        <v>100000</v>
      </c>
      <c r="H37" s="195">
        <v>53046.14</v>
      </c>
      <c r="I37" s="453">
        <v>1810795</v>
      </c>
      <c r="J37" s="26">
        <v>1.45</v>
      </c>
      <c r="K37" s="429"/>
      <c r="L37" s="429"/>
      <c r="M37" s="429"/>
      <c r="N37" s="429"/>
    </row>
    <row r="38" spans="1:14">
      <c r="A38" s="429" t="s">
        <v>208</v>
      </c>
      <c r="B38" s="426" t="s">
        <v>218</v>
      </c>
      <c r="C38" s="429"/>
      <c r="D38" s="426" t="s">
        <v>219</v>
      </c>
      <c r="E38" s="426" t="s">
        <v>220</v>
      </c>
      <c r="F38" s="426" t="s">
        <v>100</v>
      </c>
      <c r="G38" s="429">
        <v>15000</v>
      </c>
      <c r="H38" s="429" t="s">
        <v>211</v>
      </c>
      <c r="I38" s="447">
        <v>87646</v>
      </c>
      <c r="J38" s="429" t="s">
        <v>212</v>
      </c>
      <c r="K38" s="429" t="s">
        <v>213</v>
      </c>
      <c r="L38" s="429" t="s">
        <v>214</v>
      </c>
      <c r="M38" s="429" t="s">
        <v>103</v>
      </c>
      <c r="N38" s="429"/>
    </row>
    <row r="39" spans="1:14" ht="25.5">
      <c r="A39" s="429"/>
      <c r="B39" s="426" t="s">
        <v>99</v>
      </c>
      <c r="C39" s="429" t="s">
        <v>10</v>
      </c>
      <c r="D39" s="426" t="s">
        <v>11</v>
      </c>
      <c r="E39" s="426" t="s">
        <v>670</v>
      </c>
      <c r="F39" s="426" t="s">
        <v>100</v>
      </c>
      <c r="G39" s="448">
        <v>15001</v>
      </c>
      <c r="H39" s="448" t="s">
        <v>659</v>
      </c>
      <c r="I39" s="447">
        <v>199920</v>
      </c>
      <c r="J39" s="429" t="s">
        <v>212</v>
      </c>
      <c r="K39" s="429"/>
      <c r="L39" s="429"/>
      <c r="M39" s="429"/>
      <c r="N39" s="429"/>
    </row>
    <row r="40" spans="1:14" ht="25.5">
      <c r="A40" s="426" t="s">
        <v>217</v>
      </c>
      <c r="B40" s="426" t="s">
        <v>218</v>
      </c>
      <c r="C40" s="426" t="s">
        <v>86</v>
      </c>
      <c r="D40" s="426" t="s">
        <v>219</v>
      </c>
      <c r="E40" s="426" t="s">
        <v>220</v>
      </c>
      <c r="F40" s="426" t="s">
        <v>100</v>
      </c>
      <c r="G40" s="195">
        <v>126058</v>
      </c>
      <c r="H40" s="195">
        <v>44299</v>
      </c>
      <c r="I40" s="442">
        <v>127321</v>
      </c>
      <c r="J40" s="26">
        <f>(H40*1000)/G40/365</f>
        <v>0.96278794910018584</v>
      </c>
      <c r="K40" s="446">
        <v>6287634</v>
      </c>
      <c r="L40" s="446">
        <v>341486</v>
      </c>
      <c r="M40" s="446" t="s">
        <v>44</v>
      </c>
      <c r="N40" s="429"/>
    </row>
    <row r="41" spans="1:14" ht="25.5">
      <c r="A41" s="426" t="s">
        <v>217</v>
      </c>
      <c r="B41" s="426" t="s">
        <v>99</v>
      </c>
      <c r="C41" s="426" t="s">
        <v>10</v>
      </c>
      <c r="D41" s="426" t="s">
        <v>11</v>
      </c>
      <c r="E41" s="426" t="s">
        <v>670</v>
      </c>
      <c r="F41" s="426" t="s">
        <v>100</v>
      </c>
      <c r="G41" s="438">
        <v>126058</v>
      </c>
      <c r="H41" s="438">
        <v>44299</v>
      </c>
      <c r="I41" s="442">
        <v>395559</v>
      </c>
      <c r="J41" s="26">
        <f>(H41*1000)/G41/365</f>
        <v>0.96278794910018584</v>
      </c>
      <c r="K41" s="446">
        <v>6271391</v>
      </c>
      <c r="L41" s="446">
        <v>333616</v>
      </c>
      <c r="M41" s="446" t="s">
        <v>44</v>
      </c>
      <c r="N41" s="429"/>
    </row>
    <row r="42" spans="1:14" ht="25.5">
      <c r="A42" s="429" t="s">
        <v>229</v>
      </c>
      <c r="B42" s="426" t="s">
        <v>99</v>
      </c>
      <c r="C42" s="429" t="s">
        <v>10</v>
      </c>
      <c r="D42" s="429" t="s">
        <v>11</v>
      </c>
      <c r="E42" s="426" t="s">
        <v>670</v>
      </c>
      <c r="F42" s="426" t="s">
        <v>100</v>
      </c>
      <c r="G42" s="439">
        <v>54588</v>
      </c>
      <c r="H42" s="429">
        <v>20801</v>
      </c>
      <c r="I42" s="447">
        <v>948434</v>
      </c>
      <c r="J42" s="452">
        <f>+H42*1000/G42/365</f>
        <v>1.0439847786306589</v>
      </c>
      <c r="K42" s="429" t="s">
        <v>213</v>
      </c>
      <c r="L42" s="429" t="s">
        <v>214</v>
      </c>
      <c r="M42" s="429" t="s">
        <v>103</v>
      </c>
      <c r="N42" s="429" t="s">
        <v>226</v>
      </c>
    </row>
    <row r="43" spans="1:14" ht="63.75">
      <c r="A43" s="426" t="s">
        <v>245</v>
      </c>
      <c r="B43" s="426" t="s">
        <v>99</v>
      </c>
      <c r="C43" s="426" t="s">
        <v>10</v>
      </c>
      <c r="D43" s="426" t="s">
        <v>11</v>
      </c>
      <c r="E43" s="426" t="s">
        <v>670</v>
      </c>
      <c r="F43" s="426" t="s">
        <v>100</v>
      </c>
      <c r="G43" s="195">
        <v>14217</v>
      </c>
      <c r="H43" s="195">
        <v>6857</v>
      </c>
      <c r="I43" s="442">
        <v>255314</v>
      </c>
      <c r="J43" s="428">
        <v>1.33</v>
      </c>
      <c r="K43" s="446" t="s">
        <v>246</v>
      </c>
      <c r="L43" s="446" t="s">
        <v>247</v>
      </c>
      <c r="M43" s="446" t="s">
        <v>103</v>
      </c>
      <c r="N43" s="426" t="s">
        <v>248</v>
      </c>
    </row>
    <row r="44" spans="1:14" ht="25.5">
      <c r="A44" s="426" t="s">
        <v>273</v>
      </c>
      <c r="B44" s="426" t="s">
        <v>218</v>
      </c>
      <c r="C44" s="426" t="s">
        <v>274</v>
      </c>
      <c r="D44" s="426" t="s">
        <v>219</v>
      </c>
      <c r="E44" s="426" t="s">
        <v>220</v>
      </c>
      <c r="F44" s="426" t="s">
        <v>100</v>
      </c>
      <c r="G44" s="195">
        <v>104000</v>
      </c>
      <c r="H44" s="195">
        <v>48516</v>
      </c>
      <c r="I44" s="442">
        <v>1187000</v>
      </c>
      <c r="J44" s="26">
        <f>+H44*1000/G44/365</f>
        <v>1.2780821917808218</v>
      </c>
      <c r="K44" s="429" t="s">
        <v>276</v>
      </c>
      <c r="L44" s="429"/>
      <c r="M44" s="429" t="s">
        <v>277</v>
      </c>
      <c r="N44" s="426"/>
    </row>
    <row r="45" spans="1:14" ht="25.5">
      <c r="A45" s="426"/>
      <c r="B45" s="426" t="s">
        <v>99</v>
      </c>
      <c r="C45" s="426" t="s">
        <v>10</v>
      </c>
      <c r="D45" s="426" t="s">
        <v>11</v>
      </c>
      <c r="E45" s="426" t="s">
        <v>670</v>
      </c>
      <c r="F45" s="426" t="s">
        <v>100</v>
      </c>
      <c r="G45" s="195"/>
      <c r="H45" s="195"/>
      <c r="I45" s="442"/>
      <c r="J45" s="26"/>
      <c r="K45" s="429"/>
      <c r="L45" s="429" t="s">
        <v>278</v>
      </c>
      <c r="M45" s="429"/>
      <c r="N45" s="426"/>
    </row>
    <row r="46" spans="1:14" ht="25.5">
      <c r="A46" s="426" t="s">
        <v>289</v>
      </c>
      <c r="B46" s="426" t="s">
        <v>99</v>
      </c>
      <c r="C46" s="426" t="s">
        <v>10</v>
      </c>
      <c r="D46" s="426" t="s">
        <v>219</v>
      </c>
      <c r="E46" s="426" t="s">
        <v>670</v>
      </c>
      <c r="F46" s="426" t="s">
        <v>100</v>
      </c>
      <c r="G46" s="195">
        <v>211536</v>
      </c>
      <c r="H46" s="440">
        <v>76480.400000000009</v>
      </c>
      <c r="I46" s="442">
        <v>765257</v>
      </c>
      <c r="J46" s="26">
        <v>0.99</v>
      </c>
      <c r="K46" s="429"/>
      <c r="L46" s="429"/>
      <c r="M46" s="429"/>
      <c r="N46" s="429"/>
    </row>
    <row r="47" spans="1:14" ht="25.5">
      <c r="A47" s="426" t="s">
        <v>660</v>
      </c>
      <c r="B47" s="426" t="s">
        <v>99</v>
      </c>
      <c r="C47" s="426" t="s">
        <v>10</v>
      </c>
      <c r="D47" s="426" t="s">
        <v>11</v>
      </c>
      <c r="E47" s="426" t="s">
        <v>670</v>
      </c>
      <c r="F47" s="426" t="s">
        <v>100</v>
      </c>
      <c r="G47" s="429">
        <v>780000</v>
      </c>
      <c r="H47" s="439">
        <v>218298</v>
      </c>
      <c r="I47" s="447">
        <v>5761715</v>
      </c>
      <c r="J47" s="452">
        <f>+H47*1000/G47/365</f>
        <v>0.76676501580611178</v>
      </c>
      <c r="K47" s="429" t="s">
        <v>101</v>
      </c>
      <c r="L47" s="429" t="s">
        <v>102</v>
      </c>
      <c r="M47" s="429" t="s">
        <v>103</v>
      </c>
      <c r="N47" s="429" t="s">
        <v>386</v>
      </c>
    </row>
    <row r="48" spans="1:14" ht="25.5">
      <c r="A48" s="426" t="s">
        <v>11</v>
      </c>
      <c r="B48" s="426" t="s">
        <v>99</v>
      </c>
      <c r="C48" s="426" t="s">
        <v>10</v>
      </c>
      <c r="D48" s="426" t="s">
        <v>11</v>
      </c>
      <c r="E48" s="426" t="s">
        <v>670</v>
      </c>
      <c r="F48" s="426" t="s">
        <v>100</v>
      </c>
      <c r="G48" s="429">
        <v>65000</v>
      </c>
      <c r="H48" s="439">
        <v>24293</v>
      </c>
      <c r="I48" s="453">
        <v>539028</v>
      </c>
      <c r="J48" s="452">
        <f>+H48*1000/G48/365</f>
        <v>1.023940990516333</v>
      </c>
      <c r="K48" s="429" t="s">
        <v>101</v>
      </c>
      <c r="L48" s="429" t="s">
        <v>102</v>
      </c>
      <c r="M48" s="429" t="s">
        <v>103</v>
      </c>
      <c r="N48" s="429"/>
    </row>
    <row r="49" spans="1:14" ht="25.5">
      <c r="A49" s="429" t="s">
        <v>510</v>
      </c>
      <c r="B49" s="426" t="s">
        <v>99</v>
      </c>
      <c r="C49" s="426" t="s">
        <v>10</v>
      </c>
      <c r="D49" s="426" t="s">
        <v>11</v>
      </c>
      <c r="E49" s="426" t="s">
        <v>670</v>
      </c>
      <c r="F49" s="426" t="s">
        <v>100</v>
      </c>
      <c r="G49" s="429">
        <v>99000</v>
      </c>
      <c r="H49" s="439">
        <v>31200</v>
      </c>
      <c r="I49" s="453"/>
      <c r="J49" s="452">
        <f>+H49*1000/G49/365</f>
        <v>0.86342880863428806</v>
      </c>
      <c r="K49" s="429" t="s">
        <v>101</v>
      </c>
      <c r="L49" s="429" t="s">
        <v>102</v>
      </c>
      <c r="M49" s="429" t="s">
        <v>103</v>
      </c>
      <c r="N49" s="429"/>
    </row>
    <row r="50" spans="1:14" ht="25.5">
      <c r="A50" s="426" t="s">
        <v>219</v>
      </c>
      <c r="B50" s="426" t="s">
        <v>99</v>
      </c>
      <c r="C50" s="426" t="s">
        <v>10</v>
      </c>
      <c r="D50" s="426" t="s">
        <v>11</v>
      </c>
      <c r="E50" s="426" t="s">
        <v>670</v>
      </c>
      <c r="F50" s="426" t="s">
        <v>100</v>
      </c>
      <c r="G50" s="439">
        <v>363000</v>
      </c>
      <c r="H50" s="439" t="s">
        <v>531</v>
      </c>
      <c r="I50" s="447">
        <v>4001775</v>
      </c>
      <c r="J50" s="429" t="s">
        <v>672</v>
      </c>
      <c r="K50" s="429" t="s">
        <v>101</v>
      </c>
      <c r="L50" s="429" t="s">
        <v>102</v>
      </c>
      <c r="M50" s="429" t="s">
        <v>103</v>
      </c>
      <c r="N50" s="429"/>
    </row>
    <row r="51" spans="1:14" ht="25.5">
      <c r="A51" s="426" t="s">
        <v>552</v>
      </c>
      <c r="B51" s="426" t="s">
        <v>99</v>
      </c>
      <c r="C51" s="426" t="s">
        <v>556</v>
      </c>
      <c r="D51" s="426" t="s">
        <v>557</v>
      </c>
      <c r="E51" s="426" t="s">
        <v>670</v>
      </c>
      <c r="F51" s="426" t="s">
        <v>100</v>
      </c>
      <c r="G51" s="195">
        <v>85195</v>
      </c>
      <c r="H51" s="195">
        <f>3406.89*12</f>
        <v>40882.68</v>
      </c>
      <c r="I51" s="442">
        <v>779124</v>
      </c>
      <c r="J51" s="26">
        <f>+H51*1000/G51/365</f>
        <v>1.3147173245584063</v>
      </c>
      <c r="K51" s="429"/>
      <c r="L51" s="429"/>
      <c r="M51" s="429"/>
      <c r="N51" s="429"/>
    </row>
    <row r="52" spans="1:14" ht="25.5">
      <c r="A52" s="426" t="s">
        <v>554</v>
      </c>
      <c r="B52" s="426" t="s">
        <v>99</v>
      </c>
      <c r="C52" s="426" t="s">
        <v>556</v>
      </c>
      <c r="D52" s="426" t="s">
        <v>557</v>
      </c>
      <c r="E52" s="426" t="s">
        <v>670</v>
      </c>
      <c r="F52" s="426" t="s">
        <v>100</v>
      </c>
      <c r="G52" s="442">
        <v>185449</v>
      </c>
      <c r="H52" s="26">
        <v>77835.460000000006</v>
      </c>
      <c r="I52" s="442">
        <v>809656</v>
      </c>
      <c r="J52" s="26">
        <f>+H52*1000/G52/365</f>
        <v>1.149900164554343</v>
      </c>
      <c r="K52" s="429"/>
      <c r="L52" s="429"/>
      <c r="M52" s="429"/>
      <c r="N52" s="426" t="s">
        <v>558</v>
      </c>
    </row>
    <row r="53" spans="1:14" ht="25.5">
      <c r="A53" s="426" t="s">
        <v>554</v>
      </c>
      <c r="B53" s="426" t="s">
        <v>99</v>
      </c>
      <c r="C53" s="426" t="s">
        <v>10</v>
      </c>
      <c r="D53" s="426" t="s">
        <v>11</v>
      </c>
      <c r="E53" s="426" t="s">
        <v>670</v>
      </c>
      <c r="F53" s="426" t="s">
        <v>100</v>
      </c>
      <c r="G53" s="26"/>
      <c r="H53" s="26"/>
      <c r="I53" s="442">
        <v>2110689</v>
      </c>
      <c r="J53" s="443"/>
      <c r="K53" s="429"/>
      <c r="L53" s="429"/>
      <c r="M53" s="429"/>
      <c r="N53" s="426" t="s">
        <v>559</v>
      </c>
    </row>
    <row r="54" spans="1:14" ht="25.5">
      <c r="A54" s="426" t="s">
        <v>577</v>
      </c>
      <c r="B54" s="426" t="s">
        <v>99</v>
      </c>
      <c r="C54" s="426" t="s">
        <v>556</v>
      </c>
      <c r="D54" s="426" t="s">
        <v>557</v>
      </c>
      <c r="E54" s="426" t="s">
        <v>670</v>
      </c>
      <c r="F54" s="426" t="s">
        <v>100</v>
      </c>
      <c r="G54" s="442">
        <v>119470</v>
      </c>
      <c r="H54" s="26">
        <v>68881.759999999995</v>
      </c>
      <c r="I54" s="442">
        <v>827696</v>
      </c>
      <c r="J54" s="26">
        <v>1.4</v>
      </c>
      <c r="K54" s="429"/>
      <c r="L54" s="429"/>
      <c r="M54" s="429"/>
      <c r="N54" s="429"/>
    </row>
    <row r="55" spans="1:14" ht="25.5">
      <c r="A55" s="429" t="s">
        <v>664</v>
      </c>
      <c r="B55" s="426" t="s">
        <v>99</v>
      </c>
      <c r="C55" s="429" t="s">
        <v>10</v>
      </c>
      <c r="D55" s="429" t="s">
        <v>11</v>
      </c>
      <c r="E55" s="426" t="s">
        <v>670</v>
      </c>
      <c r="F55" s="426" t="s">
        <v>100</v>
      </c>
      <c r="G55" s="439">
        <v>400000</v>
      </c>
      <c r="H55" s="439">
        <v>156251</v>
      </c>
      <c r="I55" s="447">
        <v>3127892</v>
      </c>
      <c r="J55" s="429">
        <v>1.07</v>
      </c>
      <c r="K55" s="429"/>
      <c r="L55" s="429"/>
      <c r="M55" s="429"/>
      <c r="N55" s="429"/>
    </row>
    <row r="56" spans="1:14" ht="25.5">
      <c r="A56" s="426" t="s">
        <v>665</v>
      </c>
      <c r="B56" s="426" t="s">
        <v>99</v>
      </c>
      <c r="C56" s="429" t="s">
        <v>10</v>
      </c>
      <c r="D56" s="429" t="s">
        <v>11</v>
      </c>
      <c r="E56" s="426" t="s">
        <v>670</v>
      </c>
      <c r="F56" s="426" t="s">
        <v>100</v>
      </c>
      <c r="G56" s="439">
        <v>120612</v>
      </c>
      <c r="H56" s="439">
        <v>60000</v>
      </c>
      <c r="I56" s="447">
        <v>1633152</v>
      </c>
      <c r="J56" s="26">
        <v>1.3</v>
      </c>
      <c r="K56" s="429"/>
      <c r="L56" s="429"/>
      <c r="M56" s="429"/>
      <c r="N56" s="429" t="s">
        <v>359</v>
      </c>
    </row>
    <row r="57" spans="1:14" ht="38.25">
      <c r="A57" s="426" t="s">
        <v>91</v>
      </c>
      <c r="B57" s="426" t="s">
        <v>668</v>
      </c>
      <c r="C57" s="426" t="s">
        <v>175</v>
      </c>
      <c r="D57" s="426" t="s">
        <v>176</v>
      </c>
      <c r="E57" s="426" t="s">
        <v>488</v>
      </c>
      <c r="F57" s="426" t="s">
        <v>295</v>
      </c>
      <c r="G57" s="195">
        <v>81040</v>
      </c>
      <c r="H57" s="195">
        <v>34554</v>
      </c>
      <c r="I57" s="442">
        <v>72647</v>
      </c>
      <c r="J57" s="26">
        <v>1.17</v>
      </c>
      <c r="K57" s="429" t="s">
        <v>96</v>
      </c>
      <c r="L57" s="429" t="s">
        <v>97</v>
      </c>
      <c r="M57" s="429"/>
      <c r="N57" s="429"/>
    </row>
    <row r="58" spans="1:14" ht="38.25">
      <c r="A58" s="426" t="s">
        <v>174</v>
      </c>
      <c r="B58" s="426" t="s">
        <v>668</v>
      </c>
      <c r="C58" s="426" t="s">
        <v>175</v>
      </c>
      <c r="D58" s="426" t="s">
        <v>176</v>
      </c>
      <c r="E58" s="426" t="s">
        <v>488</v>
      </c>
      <c r="F58" s="426" t="s">
        <v>295</v>
      </c>
      <c r="G58" s="195">
        <v>32000</v>
      </c>
      <c r="H58" s="195">
        <v>10500</v>
      </c>
      <c r="I58" s="442">
        <v>85094</v>
      </c>
      <c r="J58" s="26">
        <v>0.9</v>
      </c>
      <c r="K58" s="429" t="s">
        <v>298</v>
      </c>
      <c r="L58" s="429" t="s">
        <v>299</v>
      </c>
      <c r="M58" s="429" t="s">
        <v>300</v>
      </c>
      <c r="N58" s="429"/>
    </row>
    <row r="59" spans="1:14" ht="38.25">
      <c r="A59" s="426" t="s">
        <v>291</v>
      </c>
      <c r="B59" s="426" t="s">
        <v>668</v>
      </c>
      <c r="C59" s="426" t="s">
        <v>175</v>
      </c>
      <c r="D59" s="426" t="s">
        <v>176</v>
      </c>
      <c r="E59" s="426" t="s">
        <v>488</v>
      </c>
      <c r="F59" s="426" t="s">
        <v>295</v>
      </c>
      <c r="G59" s="195">
        <v>55900</v>
      </c>
      <c r="H59" s="195" t="s">
        <v>296</v>
      </c>
      <c r="I59" s="442">
        <v>202600</v>
      </c>
      <c r="J59" s="26" t="s">
        <v>297</v>
      </c>
      <c r="K59" s="444">
        <v>6289506.1100000003</v>
      </c>
      <c r="L59" s="444">
        <v>325808.99</v>
      </c>
      <c r="M59" s="426" t="s">
        <v>206</v>
      </c>
      <c r="N59" s="426" t="s">
        <v>207</v>
      </c>
    </row>
    <row r="60" spans="1:14" ht="38.25">
      <c r="A60" s="426" t="s">
        <v>203</v>
      </c>
      <c r="B60" s="426" t="s">
        <v>668</v>
      </c>
      <c r="C60" s="426" t="s">
        <v>175</v>
      </c>
      <c r="D60" s="426" t="s">
        <v>176</v>
      </c>
      <c r="E60" s="426" t="s">
        <v>488</v>
      </c>
      <c r="F60" s="426" t="s">
        <v>295</v>
      </c>
      <c r="G60" s="195">
        <v>250000</v>
      </c>
      <c r="H60" s="195">
        <v>99244.82</v>
      </c>
      <c r="I60" s="442">
        <v>2411000</v>
      </c>
      <c r="J60" s="26">
        <v>1.08</v>
      </c>
      <c r="K60" s="426" t="s">
        <v>512</v>
      </c>
      <c r="L60" s="426" t="s">
        <v>513</v>
      </c>
      <c r="M60" s="426" t="s">
        <v>514</v>
      </c>
      <c r="N60" s="426" t="s">
        <v>515</v>
      </c>
    </row>
    <row r="61" spans="1:14" ht="51">
      <c r="A61" s="426" t="s">
        <v>511</v>
      </c>
      <c r="B61" s="426" t="s">
        <v>668</v>
      </c>
      <c r="C61" s="426" t="s">
        <v>175</v>
      </c>
      <c r="D61" s="426" t="s">
        <v>176</v>
      </c>
      <c r="E61" s="426" t="s">
        <v>488</v>
      </c>
      <c r="F61" s="426" t="s">
        <v>295</v>
      </c>
      <c r="G61" s="442">
        <v>87230.90884155262</v>
      </c>
      <c r="H61" s="442">
        <v>29708.065199999997</v>
      </c>
      <c r="I61" s="442">
        <v>242967</v>
      </c>
      <c r="J61" s="441">
        <v>0.93</v>
      </c>
      <c r="K61" s="429"/>
      <c r="L61" s="429"/>
      <c r="M61" s="429"/>
      <c r="N61" s="426" t="s">
        <v>563</v>
      </c>
    </row>
    <row r="62" spans="1:14" ht="38.25">
      <c r="A62" s="426" t="s">
        <v>561</v>
      </c>
      <c r="B62" s="426" t="s">
        <v>668</v>
      </c>
      <c r="C62" s="426" t="s">
        <v>175</v>
      </c>
      <c r="D62" s="426" t="s">
        <v>176</v>
      </c>
      <c r="E62" s="426" t="s">
        <v>488</v>
      </c>
      <c r="F62" s="426" t="s">
        <v>295</v>
      </c>
      <c r="G62" s="195">
        <v>34291</v>
      </c>
      <c r="H62" s="195">
        <v>10856.42</v>
      </c>
      <c r="I62" s="442">
        <v>449333</v>
      </c>
      <c r="J62" s="26">
        <f>+H62*1000/G62/365</f>
        <v>0.86738842373672875</v>
      </c>
      <c r="K62" s="429">
        <v>6256439</v>
      </c>
      <c r="L62" s="429">
        <v>285556</v>
      </c>
      <c r="M62" s="429" t="s">
        <v>103</v>
      </c>
      <c r="N62" s="426" t="s">
        <v>184</v>
      </c>
    </row>
    <row r="63" spans="1:14" ht="25.5">
      <c r="A63" s="426" t="s">
        <v>179</v>
      </c>
      <c r="B63" s="426" t="s">
        <v>14</v>
      </c>
      <c r="C63" s="426" t="s">
        <v>501</v>
      </c>
      <c r="D63" s="426" t="s">
        <v>16</v>
      </c>
      <c r="E63" s="426" t="s">
        <v>671</v>
      </c>
      <c r="F63" s="195" t="s">
        <v>183</v>
      </c>
      <c r="G63" s="195">
        <v>3000</v>
      </c>
      <c r="H63" s="195">
        <v>1800</v>
      </c>
      <c r="I63" s="442">
        <v>27000</v>
      </c>
      <c r="J63" s="452">
        <f>+H63*1000/G63/365</f>
        <v>1.6438356164383561</v>
      </c>
      <c r="K63" s="454" t="s">
        <v>504</v>
      </c>
      <c r="L63" s="429" t="s">
        <v>505</v>
      </c>
      <c r="M63" s="429" t="s">
        <v>506</v>
      </c>
      <c r="N63" s="429"/>
    </row>
    <row r="64" spans="1:14" ht="25.5">
      <c r="A64" s="426" t="s">
        <v>500</v>
      </c>
      <c r="B64" s="426" t="s">
        <v>14</v>
      </c>
      <c r="C64" s="426" t="s">
        <v>501</v>
      </c>
      <c r="D64" s="426" t="s">
        <v>16</v>
      </c>
      <c r="E64" s="426" t="s">
        <v>671</v>
      </c>
      <c r="F64" s="195" t="s">
        <v>183</v>
      </c>
      <c r="G64" s="439">
        <v>5639</v>
      </c>
      <c r="H64" s="195">
        <v>3000</v>
      </c>
      <c r="I64" s="442">
        <v>50941</v>
      </c>
      <c r="J64" s="452">
        <f>+H64*1000/G64/365</f>
        <v>1.4575595109401986</v>
      </c>
      <c r="K64" s="429">
        <v>6256366.5880000005</v>
      </c>
      <c r="L64" s="429">
        <v>285640.70600000001</v>
      </c>
      <c r="M64" s="429" t="s">
        <v>546</v>
      </c>
      <c r="N64" s="429"/>
    </row>
    <row r="65" spans="1:14" ht="63.75">
      <c r="A65" s="426" t="s">
        <v>16</v>
      </c>
      <c r="B65" s="426" t="s">
        <v>14</v>
      </c>
      <c r="C65" s="426" t="s">
        <v>501</v>
      </c>
      <c r="D65" s="426" t="s">
        <v>16</v>
      </c>
      <c r="E65" s="426" t="s">
        <v>671</v>
      </c>
      <c r="F65" s="195" t="s">
        <v>183</v>
      </c>
      <c r="G65" s="195">
        <v>120000</v>
      </c>
      <c r="H65" s="195">
        <v>50000</v>
      </c>
      <c r="I65" s="442"/>
      <c r="J65" s="26">
        <v>1.1000000000000001</v>
      </c>
      <c r="K65" s="429"/>
      <c r="L65" s="429"/>
      <c r="M65" s="429"/>
      <c r="N65" s="426" t="s">
        <v>661</v>
      </c>
    </row>
    <row r="66" spans="1:14" ht="25.5">
      <c r="A66" s="426" t="s">
        <v>564</v>
      </c>
      <c r="B66" s="426" t="s">
        <v>14</v>
      </c>
      <c r="C66" s="426" t="s">
        <v>501</v>
      </c>
      <c r="D66" s="426" t="s">
        <v>16</v>
      </c>
      <c r="E66" s="426" t="s">
        <v>671</v>
      </c>
      <c r="F66" s="195" t="s">
        <v>183</v>
      </c>
      <c r="G66" s="195">
        <v>12000</v>
      </c>
      <c r="H66" s="195">
        <v>3504</v>
      </c>
      <c r="I66" s="447">
        <v>100000</v>
      </c>
      <c r="J66" s="26">
        <f>+H66*1000/G66/365</f>
        <v>0.8</v>
      </c>
      <c r="K66" s="429"/>
      <c r="L66" s="429"/>
      <c r="M66" s="429"/>
      <c r="N66" s="429"/>
    </row>
  </sheetData>
  <autoFilter ref="A1:O1"/>
  <pageMargins left="0.7" right="0.7" top="0.75" bottom="0.75" header="0.3" footer="0.3"/>
  <pageSetup orientation="portrait" verticalDpi="0" r:id="rId1"/>
  <legacyDrawing r:id="rId2"/>
</worksheet>
</file>

<file path=xl/worksheets/sheet20.xml><?xml version="1.0" encoding="utf-8"?>
<worksheet xmlns="http://schemas.openxmlformats.org/spreadsheetml/2006/main" xmlns:r="http://schemas.openxmlformats.org/officeDocument/2006/relationships">
  <sheetPr>
    <tabColor theme="5" tint="-0.249977111117893"/>
  </sheetPr>
  <dimension ref="A1:N24"/>
  <sheetViews>
    <sheetView workbookViewId="0">
      <selection activeCell="A2" sqref="A2:N3"/>
    </sheetView>
  </sheetViews>
  <sheetFormatPr baseColWidth="10" defaultRowHeight="15"/>
  <cols>
    <col min="2" max="2" width="20.140625" customWidth="1"/>
    <col min="3" max="3" width="14.140625" customWidth="1"/>
    <col min="4" max="4" width="13.28515625" customWidth="1"/>
  </cols>
  <sheetData>
    <row r="1" spans="1:14" ht="94.5">
      <c r="A1" s="210" t="s">
        <v>77</v>
      </c>
      <c r="B1" s="210" t="s">
        <v>0</v>
      </c>
      <c r="C1" s="210" t="s">
        <v>1</v>
      </c>
      <c r="D1" s="210" t="s">
        <v>78</v>
      </c>
      <c r="E1" s="210" t="s">
        <v>4</v>
      </c>
      <c r="F1" s="210" t="s">
        <v>5</v>
      </c>
      <c r="G1" s="211" t="s">
        <v>79</v>
      </c>
      <c r="H1" s="211" t="s">
        <v>80</v>
      </c>
      <c r="I1" s="211" t="s">
        <v>81</v>
      </c>
      <c r="J1" s="210" t="s">
        <v>82</v>
      </c>
      <c r="K1" s="212" t="s">
        <v>27</v>
      </c>
      <c r="L1" s="212" t="s">
        <v>28</v>
      </c>
      <c r="M1" s="212" t="s">
        <v>83</v>
      </c>
      <c r="N1" s="210" t="s">
        <v>7</v>
      </c>
    </row>
    <row r="2" spans="1:14" ht="45">
      <c r="A2" s="200" t="s">
        <v>400</v>
      </c>
      <c r="B2" s="200" t="s">
        <v>283</v>
      </c>
      <c r="C2" s="200" t="s">
        <v>401</v>
      </c>
      <c r="D2" s="200" t="s">
        <v>147</v>
      </c>
      <c r="E2" s="200"/>
      <c r="F2" s="200"/>
      <c r="G2" s="201">
        <v>90000</v>
      </c>
      <c r="H2" s="201">
        <v>30000</v>
      </c>
      <c r="I2" s="201">
        <v>671610</v>
      </c>
      <c r="J2" s="251">
        <f>+H2*1000/G2/365</f>
        <v>0.91324200913242004</v>
      </c>
      <c r="K2" s="209"/>
      <c r="L2" s="209"/>
      <c r="M2" s="209"/>
      <c r="N2" s="200"/>
    </row>
    <row r="3" spans="1:14" ht="30">
      <c r="A3" s="200"/>
      <c r="B3" s="200" t="s">
        <v>93</v>
      </c>
      <c r="C3" s="200"/>
      <c r="D3" s="200" t="s">
        <v>402</v>
      </c>
      <c r="E3" s="200"/>
      <c r="F3" s="200"/>
      <c r="G3" s="201">
        <v>90000</v>
      </c>
      <c r="H3" s="201">
        <v>30000</v>
      </c>
      <c r="I3" s="201"/>
      <c r="J3" s="202"/>
      <c r="K3" s="209"/>
      <c r="L3" s="209"/>
      <c r="M3" s="209"/>
      <c r="N3" s="200"/>
    </row>
    <row r="4" spans="1:14">
      <c r="A4" s="200"/>
      <c r="B4" s="200"/>
      <c r="C4" s="200"/>
      <c r="D4" s="200"/>
      <c r="E4" s="200"/>
      <c r="F4" s="200"/>
      <c r="G4" s="201"/>
      <c r="H4" s="201"/>
      <c r="I4" s="201"/>
      <c r="J4" s="202"/>
      <c r="K4" s="209"/>
      <c r="L4" s="209"/>
      <c r="M4" s="209"/>
      <c r="N4" s="200"/>
    </row>
    <row r="5" spans="1:14">
      <c r="A5" s="200"/>
      <c r="B5" s="200"/>
      <c r="C5" s="200"/>
      <c r="D5" s="200"/>
      <c r="E5" s="203"/>
      <c r="F5" s="200"/>
      <c r="G5" s="201"/>
      <c r="H5" s="201"/>
      <c r="I5" s="201"/>
      <c r="J5" s="202"/>
      <c r="K5" s="209"/>
      <c r="L5" s="209"/>
      <c r="M5" s="209"/>
      <c r="N5" s="200"/>
    </row>
    <row r="6" spans="1:14">
      <c r="A6" s="204"/>
      <c r="B6" s="204"/>
      <c r="C6" s="204"/>
      <c r="D6" s="204"/>
      <c r="E6" s="205"/>
      <c r="F6" s="206"/>
      <c r="G6" s="206"/>
      <c r="H6" s="204"/>
      <c r="I6" s="204"/>
      <c r="J6" s="208"/>
      <c r="K6" s="199"/>
      <c r="L6" s="199"/>
      <c r="M6" s="199"/>
      <c r="N6" s="207"/>
    </row>
    <row r="9" spans="1:14" ht="15.75" thickBot="1">
      <c r="A9" s="199"/>
      <c r="B9" s="199"/>
      <c r="C9" s="199"/>
      <c r="D9" s="199"/>
      <c r="E9" s="199"/>
      <c r="F9" s="199"/>
      <c r="G9" s="199"/>
      <c r="H9" s="199"/>
      <c r="I9" s="199"/>
      <c r="J9" s="199"/>
      <c r="K9" s="199"/>
      <c r="L9" s="199"/>
      <c r="M9" s="199"/>
      <c r="N9" s="199"/>
    </row>
    <row r="10" spans="1:14" ht="30.75" thickBot="1">
      <c r="A10" s="213" t="s">
        <v>403</v>
      </c>
      <c r="B10" s="214" t="s">
        <v>404</v>
      </c>
      <c r="C10" s="214" t="s">
        <v>405</v>
      </c>
      <c r="D10" s="214" t="s">
        <v>406</v>
      </c>
      <c r="E10" s="215" t="s">
        <v>407</v>
      </c>
      <c r="F10" s="215" t="s">
        <v>85</v>
      </c>
      <c r="G10" s="215" t="s">
        <v>408</v>
      </c>
      <c r="H10" s="199"/>
      <c r="I10" s="199"/>
      <c r="J10" s="199"/>
      <c r="K10" s="199"/>
      <c r="L10" s="199"/>
      <c r="M10" s="199"/>
      <c r="N10" s="199"/>
    </row>
    <row r="11" spans="1:14" ht="15.75" thickBot="1">
      <c r="A11" s="216" t="s">
        <v>409</v>
      </c>
      <c r="B11" s="217" t="s">
        <v>410</v>
      </c>
      <c r="C11" s="217" t="s">
        <v>411</v>
      </c>
      <c r="D11" s="218" t="s">
        <v>412</v>
      </c>
      <c r="E11" s="217" t="s">
        <v>413</v>
      </c>
      <c r="F11" s="217"/>
      <c r="G11" s="217"/>
      <c r="H11" s="199"/>
      <c r="I11" s="199"/>
      <c r="J11" s="199"/>
      <c r="K11" s="199"/>
      <c r="L11" s="199"/>
      <c r="M11" s="199"/>
      <c r="N11" s="199"/>
    </row>
    <row r="12" spans="1:14" ht="15.75" thickBot="1">
      <c r="A12" s="216" t="s">
        <v>414</v>
      </c>
      <c r="B12" s="217" t="s">
        <v>415</v>
      </c>
      <c r="C12" s="217" t="s">
        <v>416</v>
      </c>
      <c r="D12" s="218" t="s">
        <v>417</v>
      </c>
      <c r="E12" s="217" t="s">
        <v>413</v>
      </c>
      <c r="F12" s="217"/>
      <c r="G12" s="217"/>
      <c r="H12" s="199"/>
      <c r="I12" s="199"/>
      <c r="J12" s="199"/>
      <c r="K12" s="199"/>
      <c r="L12" s="199"/>
      <c r="M12" s="199"/>
      <c r="N12" s="199"/>
    </row>
    <row r="13" spans="1:14" ht="15.75" thickBot="1">
      <c r="A13" s="216" t="s">
        <v>418</v>
      </c>
      <c r="B13" s="217" t="s">
        <v>419</v>
      </c>
      <c r="C13" s="217" t="s">
        <v>420</v>
      </c>
      <c r="D13" s="218" t="s">
        <v>421</v>
      </c>
      <c r="E13" s="217" t="s">
        <v>413</v>
      </c>
      <c r="F13" s="217" t="s">
        <v>422</v>
      </c>
      <c r="G13" s="217" t="s">
        <v>423</v>
      </c>
      <c r="H13" s="199"/>
      <c r="I13" s="199"/>
      <c r="J13" s="199"/>
      <c r="K13" s="199"/>
      <c r="L13" s="199"/>
      <c r="M13" s="199"/>
      <c r="N13" s="199"/>
    </row>
    <row r="14" spans="1:14" ht="15.75" thickBot="1">
      <c r="A14" s="216" t="s">
        <v>424</v>
      </c>
      <c r="B14" s="217" t="s">
        <v>425</v>
      </c>
      <c r="C14" s="217" t="s">
        <v>426</v>
      </c>
      <c r="D14" s="218" t="s">
        <v>427</v>
      </c>
      <c r="E14" s="217" t="s">
        <v>428</v>
      </c>
      <c r="F14" s="217" t="s">
        <v>429</v>
      </c>
      <c r="G14" s="217" t="s">
        <v>430</v>
      </c>
      <c r="H14" s="199"/>
      <c r="I14" s="199"/>
      <c r="J14" s="199"/>
      <c r="K14" s="199"/>
      <c r="L14" s="199"/>
      <c r="M14" s="199"/>
      <c r="N14" s="199"/>
    </row>
    <row r="15" spans="1:14" ht="15.75" thickBot="1">
      <c r="A15" s="216" t="s">
        <v>431</v>
      </c>
      <c r="B15" s="217" t="s">
        <v>432</v>
      </c>
      <c r="C15" s="217" t="s">
        <v>433</v>
      </c>
      <c r="D15" s="218" t="s">
        <v>434</v>
      </c>
      <c r="E15" s="217" t="s">
        <v>428</v>
      </c>
      <c r="F15" s="217" t="s">
        <v>435</v>
      </c>
      <c r="G15" s="217"/>
      <c r="H15" s="199"/>
      <c r="I15" s="199"/>
      <c r="J15" s="199"/>
      <c r="K15" s="199"/>
      <c r="L15" s="199"/>
      <c r="M15" s="199"/>
      <c r="N15" s="199"/>
    </row>
    <row r="16" spans="1:14" ht="15.75" thickBot="1">
      <c r="A16" s="216" t="s">
        <v>436</v>
      </c>
      <c r="B16" s="217" t="s">
        <v>437</v>
      </c>
      <c r="C16" s="217" t="s">
        <v>438</v>
      </c>
      <c r="D16" s="218" t="s">
        <v>439</v>
      </c>
      <c r="E16" s="217" t="s">
        <v>428</v>
      </c>
      <c r="F16" s="217"/>
      <c r="G16" s="217" t="s">
        <v>440</v>
      </c>
      <c r="H16" s="199"/>
      <c r="I16" s="199"/>
      <c r="J16" s="199"/>
      <c r="K16" s="199"/>
      <c r="L16" s="199"/>
      <c r="M16" s="199"/>
      <c r="N16" s="199"/>
    </row>
    <row r="17" spans="1:9" ht="15.75" thickBot="1">
      <c r="A17" s="216" t="s">
        <v>441</v>
      </c>
      <c r="B17" s="217" t="s">
        <v>442</v>
      </c>
      <c r="C17" s="217" t="s">
        <v>443</v>
      </c>
      <c r="D17" s="218" t="s">
        <v>434</v>
      </c>
      <c r="E17" s="217" t="s">
        <v>444</v>
      </c>
      <c r="F17" s="217"/>
      <c r="G17" s="217" t="s">
        <v>445</v>
      </c>
      <c r="H17" s="199"/>
      <c r="I17" s="199"/>
    </row>
    <row r="18" spans="1:9" ht="15.75" thickBot="1">
      <c r="A18" s="216" t="s">
        <v>446</v>
      </c>
      <c r="B18" s="217" t="s">
        <v>447</v>
      </c>
      <c r="C18" s="217" t="s">
        <v>448</v>
      </c>
      <c r="D18" s="218" t="s">
        <v>449</v>
      </c>
      <c r="E18" s="217" t="s">
        <v>444</v>
      </c>
      <c r="F18" s="217" t="s">
        <v>450</v>
      </c>
      <c r="G18" s="217" t="s">
        <v>451</v>
      </c>
      <c r="H18" s="199"/>
      <c r="I18" s="199">
        <v>422531</v>
      </c>
    </row>
    <row r="19" spans="1:9" ht="15.75" thickBot="1">
      <c r="A19" s="216" t="s">
        <v>452</v>
      </c>
      <c r="B19" s="217" t="s">
        <v>453</v>
      </c>
      <c r="C19" s="217" t="s">
        <v>454</v>
      </c>
      <c r="D19" s="218" t="s">
        <v>455</v>
      </c>
      <c r="E19" s="217" t="s">
        <v>444</v>
      </c>
      <c r="F19" s="217" t="s">
        <v>456</v>
      </c>
      <c r="G19" s="217"/>
      <c r="H19" s="199"/>
      <c r="I19" s="199">
        <v>245668</v>
      </c>
    </row>
    <row r="20" spans="1:9" ht="15.75" thickBot="1">
      <c r="A20" s="216" t="s">
        <v>457</v>
      </c>
      <c r="B20" s="217" t="s">
        <v>458</v>
      </c>
      <c r="C20" s="217" t="s">
        <v>459</v>
      </c>
      <c r="D20" s="218" t="s">
        <v>460</v>
      </c>
      <c r="E20" s="217" t="s">
        <v>444</v>
      </c>
      <c r="F20" s="217"/>
      <c r="G20" s="217" t="s">
        <v>461</v>
      </c>
      <c r="H20" s="199"/>
      <c r="I20" s="199">
        <v>3411</v>
      </c>
    </row>
    <row r="21" spans="1:9" ht="15.75" thickBot="1">
      <c r="A21" s="216" t="s">
        <v>462</v>
      </c>
      <c r="B21" s="217" t="s">
        <v>463</v>
      </c>
      <c r="C21" s="217" t="s">
        <v>464</v>
      </c>
      <c r="D21" s="218" t="s">
        <v>412</v>
      </c>
      <c r="E21" s="217" t="s">
        <v>465</v>
      </c>
      <c r="F21" s="217" t="s">
        <v>466</v>
      </c>
      <c r="G21" s="217" t="s">
        <v>467</v>
      </c>
      <c r="H21" s="199"/>
      <c r="I21" s="199">
        <v>671610</v>
      </c>
    </row>
    <row r="22" spans="1:9" ht="15.75" thickBot="1">
      <c r="A22" s="216" t="s">
        <v>468</v>
      </c>
      <c r="B22" s="217" t="s">
        <v>469</v>
      </c>
      <c r="C22" s="217" t="s">
        <v>470</v>
      </c>
      <c r="D22" s="218" t="s">
        <v>471</v>
      </c>
      <c r="E22" s="217" t="s">
        <v>465</v>
      </c>
      <c r="F22" s="217" t="s">
        <v>472</v>
      </c>
      <c r="G22" s="217" t="s">
        <v>473</v>
      </c>
      <c r="H22" s="199"/>
      <c r="I22" s="199"/>
    </row>
    <row r="23" spans="1:9" ht="15.75" thickBot="1">
      <c r="A23" s="219" t="s">
        <v>474</v>
      </c>
      <c r="B23" s="220" t="s">
        <v>475</v>
      </c>
      <c r="C23" s="220" t="s">
        <v>476</v>
      </c>
      <c r="D23" s="199"/>
      <c r="E23" s="220" t="s">
        <v>477</v>
      </c>
      <c r="F23" s="220" t="s">
        <v>478</v>
      </c>
      <c r="G23" s="220" t="s">
        <v>479</v>
      </c>
      <c r="H23" s="199"/>
      <c r="I23" s="199"/>
    </row>
    <row r="24" spans="1:9" ht="16.5" thickTop="1" thickBot="1">
      <c r="A24" s="219" t="s">
        <v>480</v>
      </c>
      <c r="B24" s="220" t="s">
        <v>481</v>
      </c>
      <c r="C24" s="220" t="s">
        <v>482</v>
      </c>
      <c r="D24" s="199"/>
      <c r="E24" s="220" t="s">
        <v>483</v>
      </c>
      <c r="F24" s="220" t="s">
        <v>484</v>
      </c>
      <c r="G24" s="220" t="s">
        <v>485</v>
      </c>
      <c r="H24" s="199"/>
      <c r="I24" s="199"/>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sheetPr>
    <tabColor theme="5" tint="-0.249977111117893"/>
  </sheetPr>
  <dimension ref="A1:N4"/>
  <sheetViews>
    <sheetView workbookViewId="0">
      <selection activeCell="A2" sqref="A2:J2"/>
    </sheetView>
  </sheetViews>
  <sheetFormatPr baseColWidth="10" defaultRowHeight="15"/>
  <cols>
    <col min="4" max="4" width="14.7109375" customWidth="1"/>
    <col min="5" max="5" width="14.5703125" customWidth="1"/>
    <col min="7" max="7" width="15.28515625" customWidth="1"/>
    <col min="9" max="9" width="12.7109375" bestFit="1" customWidth="1"/>
  </cols>
  <sheetData>
    <row r="1" spans="1:14" ht="78.75">
      <c r="A1" s="210" t="s">
        <v>77</v>
      </c>
      <c r="B1" s="210" t="s">
        <v>0</v>
      </c>
      <c r="C1" s="210" t="s">
        <v>1</v>
      </c>
      <c r="D1" s="210" t="s">
        <v>78</v>
      </c>
      <c r="E1" s="210" t="s">
        <v>4</v>
      </c>
      <c r="F1" s="210" t="s">
        <v>5</v>
      </c>
      <c r="G1" s="211" t="s">
        <v>79</v>
      </c>
      <c r="H1" s="211" t="s">
        <v>80</v>
      </c>
      <c r="I1" s="211" t="s">
        <v>81</v>
      </c>
      <c r="J1" s="210" t="s">
        <v>82</v>
      </c>
      <c r="K1" s="212" t="s">
        <v>27</v>
      </c>
      <c r="L1" s="212" t="s">
        <v>28</v>
      </c>
      <c r="M1" s="212" t="s">
        <v>83</v>
      </c>
      <c r="N1" s="210" t="s">
        <v>7</v>
      </c>
    </row>
    <row r="2" spans="1:14">
      <c r="A2" s="200" t="s">
        <v>507</v>
      </c>
      <c r="B2" s="200" t="s">
        <v>282</v>
      </c>
      <c r="C2" s="200" t="s">
        <v>509</v>
      </c>
      <c r="D2" s="200" t="s">
        <v>507</v>
      </c>
      <c r="E2" s="200"/>
      <c r="F2" s="200"/>
      <c r="G2" s="201">
        <v>17000</v>
      </c>
      <c r="H2" s="201">
        <v>5273</v>
      </c>
      <c r="I2" s="201">
        <f>30572784+10942867+10077748</f>
        <v>51593399</v>
      </c>
      <c r="J2" s="202" t="s">
        <v>508</v>
      </c>
      <c r="K2" s="209"/>
      <c r="L2" s="209"/>
      <c r="M2" s="209"/>
      <c r="N2" s="200"/>
    </row>
    <row r="4" spans="1:14">
      <c r="J4">
        <f>+H2*1000/G2/365</f>
        <v>0.849798549556809</v>
      </c>
    </row>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sheetPr>
    <tabColor theme="5" tint="-0.249977111117893"/>
  </sheetPr>
  <dimension ref="A1:N10"/>
  <sheetViews>
    <sheetView workbookViewId="0">
      <selection activeCell="A2" sqref="A2"/>
    </sheetView>
  </sheetViews>
  <sheetFormatPr baseColWidth="10" defaultRowHeight="15"/>
  <cols>
    <col min="2" max="2" width="18.85546875" customWidth="1"/>
    <col min="9" max="9" width="15" customWidth="1"/>
  </cols>
  <sheetData>
    <row r="1" spans="1:14" ht="94.5">
      <c r="A1" s="322" t="s">
        <v>77</v>
      </c>
      <c r="B1" s="322" t="s">
        <v>0</v>
      </c>
      <c r="C1" s="322" t="s">
        <v>1</v>
      </c>
      <c r="D1" s="322" t="s">
        <v>78</v>
      </c>
      <c r="E1" s="322" t="s">
        <v>4</v>
      </c>
      <c r="F1" s="322" t="s">
        <v>5</v>
      </c>
      <c r="G1" s="323" t="s">
        <v>79</v>
      </c>
      <c r="H1" s="323" t="s">
        <v>80</v>
      </c>
      <c r="I1" s="323" t="s">
        <v>516</v>
      </c>
      <c r="J1" s="322" t="s">
        <v>82</v>
      </c>
      <c r="K1" s="324" t="s">
        <v>27</v>
      </c>
      <c r="L1" s="324" t="s">
        <v>28</v>
      </c>
      <c r="M1" s="324" t="s">
        <v>83</v>
      </c>
      <c r="N1" s="322" t="s">
        <v>7</v>
      </c>
    </row>
    <row r="2" spans="1:14" ht="60">
      <c r="A2" s="325" t="s">
        <v>517</v>
      </c>
      <c r="B2" s="326" t="s">
        <v>518</v>
      </c>
      <c r="C2" s="326" t="s">
        <v>10</v>
      </c>
      <c r="D2" s="326" t="s">
        <v>90</v>
      </c>
      <c r="E2" s="326">
        <v>9979</v>
      </c>
      <c r="F2" s="326">
        <v>990</v>
      </c>
      <c r="G2" s="327">
        <v>151139</v>
      </c>
      <c r="H2" s="327">
        <v>59723</v>
      </c>
      <c r="I2" s="327" t="s">
        <v>519</v>
      </c>
      <c r="J2" s="328">
        <v>1.0826104283755125</v>
      </c>
      <c r="K2" s="327">
        <v>553000</v>
      </c>
      <c r="L2" s="327">
        <v>332000</v>
      </c>
      <c r="M2" s="329" t="s">
        <v>520</v>
      </c>
      <c r="N2" s="326"/>
    </row>
    <row r="3" spans="1:14">
      <c r="A3" s="326"/>
      <c r="B3" s="326"/>
      <c r="C3" s="326"/>
      <c r="D3" s="326"/>
      <c r="E3" s="326"/>
      <c r="F3" s="326"/>
      <c r="G3" s="327"/>
      <c r="H3" s="327"/>
      <c r="I3" s="327"/>
      <c r="J3" s="328"/>
      <c r="K3" s="330"/>
      <c r="L3" s="330"/>
      <c r="M3" s="330"/>
      <c r="N3" s="326"/>
    </row>
    <row r="4" spans="1:14">
      <c r="A4" s="326"/>
      <c r="B4" s="326"/>
      <c r="C4" s="326"/>
      <c r="D4" s="326"/>
      <c r="E4" s="326"/>
      <c r="F4" s="326"/>
      <c r="G4" s="327"/>
      <c r="H4" s="327"/>
      <c r="I4" s="327"/>
      <c r="J4" s="328"/>
      <c r="K4" s="330"/>
      <c r="L4" s="330"/>
      <c r="M4" s="330"/>
      <c r="N4" s="326"/>
    </row>
    <row r="5" spans="1:14">
      <c r="A5" s="326"/>
      <c r="B5" s="326"/>
      <c r="C5" s="326"/>
      <c r="D5" s="326"/>
      <c r="E5" s="331"/>
      <c r="F5" s="326"/>
      <c r="G5" s="327"/>
      <c r="H5" s="327"/>
      <c r="I5" s="327"/>
      <c r="J5" s="328"/>
      <c r="K5" s="330"/>
      <c r="L5" s="330"/>
      <c r="M5" s="330"/>
      <c r="N5" s="326"/>
    </row>
    <row r="6" spans="1:14">
      <c r="A6" s="332"/>
      <c r="B6" s="332"/>
      <c r="C6" s="332"/>
      <c r="D6" s="332"/>
      <c r="E6" s="333"/>
      <c r="F6" s="334"/>
      <c r="G6" s="334"/>
      <c r="H6" s="332"/>
      <c r="I6" s="332" t="s">
        <v>521</v>
      </c>
      <c r="J6" s="335"/>
      <c r="K6" s="320"/>
      <c r="L6" s="320"/>
      <c r="M6" s="320"/>
      <c r="N6" s="336"/>
    </row>
    <row r="7" spans="1:14">
      <c r="A7" s="320"/>
      <c r="B7" s="320"/>
      <c r="C7" s="320"/>
      <c r="D7" s="320"/>
      <c r="E7" s="320"/>
      <c r="F7" s="320"/>
      <c r="G7" s="320"/>
      <c r="H7" s="320"/>
      <c r="I7" s="321" t="s">
        <v>522</v>
      </c>
      <c r="J7" s="320"/>
      <c r="K7" s="320"/>
      <c r="L7" s="320"/>
      <c r="M7" s="320"/>
      <c r="N7" s="320"/>
    </row>
    <row r="8" spans="1:14">
      <c r="A8" s="320"/>
      <c r="B8" s="320"/>
      <c r="C8" s="320"/>
      <c r="D8" s="320"/>
      <c r="E8" s="320"/>
      <c r="F8" s="320"/>
      <c r="G8" s="320"/>
      <c r="H8" s="320"/>
      <c r="I8" s="321" t="s">
        <v>523</v>
      </c>
      <c r="J8" s="320"/>
      <c r="K8" s="320"/>
      <c r="L8" s="320"/>
      <c r="M8" s="320"/>
      <c r="N8" s="320"/>
    </row>
    <row r="9" spans="1:14">
      <c r="A9" s="320"/>
      <c r="B9" s="320"/>
      <c r="C9" s="320"/>
      <c r="D9" s="320"/>
      <c r="E9" s="320"/>
      <c r="F9" s="320"/>
      <c r="G9" s="320"/>
      <c r="H9" s="320"/>
      <c r="I9" s="321" t="s">
        <v>524</v>
      </c>
      <c r="J9" s="320"/>
      <c r="K9" s="320"/>
      <c r="L9" s="320"/>
      <c r="M9" s="320"/>
      <c r="N9" s="320"/>
    </row>
    <row r="10" spans="1:14">
      <c r="A10" s="320"/>
      <c r="B10" s="320"/>
      <c r="C10" s="320"/>
      <c r="D10" s="320"/>
      <c r="E10" s="320"/>
      <c r="F10" s="320"/>
      <c r="G10" s="320"/>
      <c r="H10" s="320"/>
      <c r="I10" s="321" t="s">
        <v>525</v>
      </c>
      <c r="J10" s="320"/>
      <c r="K10" s="320"/>
      <c r="L10" s="320"/>
      <c r="M10" s="320"/>
      <c r="N10" s="320"/>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sheetPr>
    <tabColor theme="5" tint="-0.249977111117893"/>
  </sheetPr>
  <dimension ref="A1:N2"/>
  <sheetViews>
    <sheetView topLeftCell="C1" workbookViewId="0">
      <selection activeCell="A2" sqref="A2:N2"/>
    </sheetView>
  </sheetViews>
  <sheetFormatPr baseColWidth="10" defaultRowHeight="15"/>
  <cols>
    <col min="1" max="1" width="11.42578125" style="313"/>
    <col min="2" max="2" width="22.42578125" customWidth="1"/>
    <col min="3" max="3" width="13.42578125" customWidth="1"/>
    <col min="4" max="4" width="14.7109375" customWidth="1"/>
    <col min="7" max="7" width="13.140625" customWidth="1"/>
    <col min="9" max="9" width="15.42578125" customWidth="1"/>
  </cols>
  <sheetData>
    <row r="1" spans="1:14" ht="78.75">
      <c r="B1" s="338" t="s">
        <v>0</v>
      </c>
      <c r="C1" s="338" t="s">
        <v>1</v>
      </c>
      <c r="D1" s="338" t="s">
        <v>78</v>
      </c>
      <c r="E1" s="338" t="s">
        <v>4</v>
      </c>
      <c r="F1" s="338" t="s">
        <v>5</v>
      </c>
      <c r="G1" s="339" t="s">
        <v>79</v>
      </c>
      <c r="H1" s="339" t="s">
        <v>80</v>
      </c>
      <c r="I1" s="339" t="s">
        <v>516</v>
      </c>
      <c r="J1" s="338" t="s">
        <v>82</v>
      </c>
      <c r="K1" s="340" t="s">
        <v>27</v>
      </c>
      <c r="L1" s="340" t="s">
        <v>28</v>
      </c>
      <c r="M1" s="340" t="s">
        <v>83</v>
      </c>
      <c r="N1" s="338" t="s">
        <v>7</v>
      </c>
    </row>
    <row r="2" spans="1:14" ht="60">
      <c r="A2" s="147" t="s">
        <v>526</v>
      </c>
      <c r="B2" s="326" t="s">
        <v>518</v>
      </c>
      <c r="C2" s="326" t="s">
        <v>10</v>
      </c>
      <c r="D2" s="326" t="s">
        <v>90</v>
      </c>
      <c r="E2" s="326">
        <v>9979</v>
      </c>
      <c r="F2" s="326">
        <v>990</v>
      </c>
      <c r="G2" s="341">
        <v>80000</v>
      </c>
      <c r="H2" s="327">
        <v>42000</v>
      </c>
      <c r="I2" s="327">
        <v>50000000</v>
      </c>
      <c r="J2" s="251">
        <f>+H2*1000/G2/365</f>
        <v>1.4383561643835616</v>
      </c>
      <c r="K2" s="327">
        <v>553000</v>
      </c>
      <c r="L2" s="327">
        <v>332000</v>
      </c>
      <c r="M2" s="329" t="s">
        <v>520</v>
      </c>
      <c r="N2" s="32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sheetPr>
    <tabColor theme="5" tint="-0.249977111117893"/>
  </sheetPr>
  <dimension ref="A1:N4"/>
  <sheetViews>
    <sheetView workbookViewId="0">
      <selection activeCell="A2" sqref="A2:N3"/>
    </sheetView>
  </sheetViews>
  <sheetFormatPr baseColWidth="10" defaultRowHeight="15"/>
  <cols>
    <col min="3" max="3" width="15.140625" customWidth="1"/>
    <col min="4" max="4" width="14.42578125" customWidth="1"/>
    <col min="9" max="9" width="14" bestFit="1" customWidth="1"/>
    <col min="11" max="11" width="13.28515625" bestFit="1" customWidth="1"/>
    <col min="12" max="12" width="12.28515625" bestFit="1" customWidth="1"/>
    <col min="13" max="13" width="13.140625" bestFit="1" customWidth="1"/>
    <col min="14" max="14" width="35.7109375" customWidth="1"/>
  </cols>
  <sheetData>
    <row r="1" spans="1:14" ht="94.5">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row>
    <row r="2" spans="1:14" ht="45">
      <c r="A2" s="343" t="s">
        <v>533</v>
      </c>
      <c r="B2" s="343" t="s">
        <v>85</v>
      </c>
      <c r="C2" s="343" t="s">
        <v>534</v>
      </c>
      <c r="D2" s="343" t="s">
        <v>87</v>
      </c>
      <c r="E2" s="343"/>
      <c r="F2" s="343"/>
      <c r="G2" s="344"/>
      <c r="H2" s="344"/>
      <c r="I2" s="344">
        <v>354915612</v>
      </c>
      <c r="J2" s="345"/>
      <c r="K2" s="350" t="s">
        <v>535</v>
      </c>
      <c r="L2" s="350" t="s">
        <v>536</v>
      </c>
      <c r="M2" s="350" t="s">
        <v>537</v>
      </c>
      <c r="N2" s="342" t="s">
        <v>538</v>
      </c>
    </row>
    <row r="3" spans="1:14" ht="33.75">
      <c r="A3" s="343" t="s">
        <v>533</v>
      </c>
      <c r="B3" s="343" t="s">
        <v>85</v>
      </c>
      <c r="C3" s="343" t="s">
        <v>539</v>
      </c>
      <c r="D3" s="343" t="s">
        <v>20</v>
      </c>
      <c r="E3" s="343">
        <v>9979</v>
      </c>
      <c r="F3" s="343">
        <v>990</v>
      </c>
      <c r="G3" s="344">
        <v>150546</v>
      </c>
      <c r="H3" s="344">
        <v>62974</v>
      </c>
      <c r="I3" s="344">
        <v>309154272</v>
      </c>
      <c r="J3" s="251">
        <f>+H3*1000/G3/365</f>
        <v>1.146038465647145</v>
      </c>
      <c r="K3" s="349">
        <v>553000</v>
      </c>
      <c r="L3" s="349">
        <v>332000</v>
      </c>
      <c r="M3" s="350" t="s">
        <v>540</v>
      </c>
      <c r="N3" s="342" t="s">
        <v>541</v>
      </c>
    </row>
    <row r="4" spans="1:14">
      <c r="I4" s="229">
        <f>+I2+I3</f>
        <v>664069884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sheetPr>
    <tabColor theme="5" tint="-0.249977111117893"/>
  </sheetPr>
  <dimension ref="A1:N2"/>
  <sheetViews>
    <sheetView workbookViewId="0">
      <selection activeCell="A2" sqref="A2:N2"/>
    </sheetView>
  </sheetViews>
  <sheetFormatPr baseColWidth="10" defaultRowHeight="15"/>
  <cols>
    <col min="9" max="9" width="15.85546875" bestFit="1" customWidth="1"/>
  </cols>
  <sheetData>
    <row r="1" spans="1:14" ht="94.5">
      <c r="A1" s="315" t="s">
        <v>77</v>
      </c>
      <c r="B1" s="315" t="s">
        <v>0</v>
      </c>
      <c r="C1" s="315" t="s">
        <v>1</v>
      </c>
      <c r="D1" s="315" t="s">
        <v>78</v>
      </c>
      <c r="E1" s="315" t="s">
        <v>4</v>
      </c>
      <c r="F1" s="315" t="s">
        <v>5</v>
      </c>
      <c r="G1" s="316" t="s">
        <v>79</v>
      </c>
      <c r="H1" s="316" t="s">
        <v>80</v>
      </c>
      <c r="I1" s="316" t="s">
        <v>81</v>
      </c>
      <c r="J1" s="315" t="s">
        <v>82</v>
      </c>
      <c r="K1" s="317" t="s">
        <v>27</v>
      </c>
      <c r="L1" s="317" t="s">
        <v>28</v>
      </c>
      <c r="M1" s="317" t="s">
        <v>83</v>
      </c>
      <c r="N1" s="315" t="s">
        <v>7</v>
      </c>
    </row>
    <row r="2" spans="1:14" ht="60">
      <c r="A2" s="314" t="s">
        <v>527</v>
      </c>
      <c r="B2" s="314" t="s">
        <v>170</v>
      </c>
      <c r="C2" s="314" t="s">
        <v>528</v>
      </c>
      <c r="D2" s="314" t="s">
        <v>271</v>
      </c>
      <c r="E2" s="314">
        <v>9979</v>
      </c>
      <c r="F2" s="314">
        <v>990</v>
      </c>
      <c r="G2" s="201">
        <v>114000</v>
      </c>
      <c r="H2" s="201">
        <v>36765</v>
      </c>
      <c r="I2" s="201">
        <v>1103725932</v>
      </c>
      <c r="J2" s="202">
        <v>0.88</v>
      </c>
      <c r="K2" s="31">
        <v>553000</v>
      </c>
      <c r="L2" s="31">
        <v>332000</v>
      </c>
      <c r="M2" s="31" t="s">
        <v>194</v>
      </c>
      <c r="N2" s="314" t="s">
        <v>529</v>
      </c>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sheetPr>
    <tabColor theme="5" tint="-0.249977111117893"/>
  </sheetPr>
  <dimension ref="A1:O5"/>
  <sheetViews>
    <sheetView workbookViewId="0">
      <selection activeCell="O3" sqref="O3"/>
    </sheetView>
  </sheetViews>
  <sheetFormatPr baseColWidth="10" defaultRowHeight="15"/>
  <cols>
    <col min="2" max="2" width="14.5703125" customWidth="1"/>
    <col min="8" max="8" width="13.85546875" bestFit="1" customWidth="1"/>
    <col min="9" max="9" width="19" bestFit="1" customWidth="1"/>
  </cols>
  <sheetData>
    <row r="1" spans="1:15" ht="94.5">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c r="O1" s="313"/>
    </row>
    <row r="2" spans="1:15" ht="60">
      <c r="A2" s="352" t="s">
        <v>94</v>
      </c>
      <c r="B2" s="352" t="s">
        <v>85</v>
      </c>
      <c r="C2" s="352" t="s">
        <v>547</v>
      </c>
      <c r="D2" s="352" t="s">
        <v>147</v>
      </c>
      <c r="E2" s="352"/>
      <c r="F2" s="352"/>
      <c r="G2" s="353">
        <v>549780</v>
      </c>
      <c r="H2" s="359">
        <v>250338.12</v>
      </c>
      <c r="I2" s="319">
        <v>2400547864</v>
      </c>
      <c r="J2" s="354">
        <f>+H2*1000/G2/365</f>
        <v>1.2475133017092266</v>
      </c>
      <c r="K2" s="355"/>
      <c r="L2" s="355"/>
      <c r="M2" s="355"/>
      <c r="N2" s="352"/>
      <c r="O2" s="313"/>
    </row>
    <row r="3" spans="1:15" ht="45">
      <c r="A3" s="352" t="s">
        <v>94</v>
      </c>
      <c r="B3" s="352" t="s">
        <v>548</v>
      </c>
      <c r="C3" s="352" t="s">
        <v>549</v>
      </c>
      <c r="D3" s="352" t="s">
        <v>114</v>
      </c>
      <c r="E3" s="352"/>
      <c r="F3" s="352"/>
      <c r="G3" s="353">
        <v>549780</v>
      </c>
      <c r="H3" s="359">
        <v>20061.8</v>
      </c>
      <c r="I3" s="319">
        <v>37756308</v>
      </c>
      <c r="J3" s="354" t="s">
        <v>550</v>
      </c>
      <c r="K3" s="355"/>
      <c r="L3" s="355"/>
      <c r="M3" s="355"/>
      <c r="N3" s="352"/>
      <c r="O3" s="313" t="s">
        <v>551</v>
      </c>
    </row>
    <row r="4" spans="1:15">
      <c r="A4" s="352"/>
      <c r="B4" s="352"/>
      <c r="C4" s="352"/>
      <c r="D4" s="352"/>
      <c r="E4" s="352"/>
      <c r="F4" s="352"/>
      <c r="G4" s="353"/>
      <c r="H4" s="353"/>
      <c r="I4" s="353"/>
      <c r="J4" s="354"/>
      <c r="K4" s="355"/>
      <c r="L4" s="355"/>
      <c r="M4" s="355"/>
      <c r="N4" s="352"/>
      <c r="O4" s="313"/>
    </row>
    <row r="5" spans="1:15">
      <c r="A5" s="352"/>
      <c r="B5" s="352"/>
      <c r="C5" s="352"/>
      <c r="D5" s="352"/>
      <c r="E5" s="203"/>
      <c r="F5" s="352"/>
      <c r="G5" s="353"/>
      <c r="H5" s="353"/>
      <c r="I5" s="353"/>
      <c r="J5" s="354"/>
      <c r="K5" s="355"/>
      <c r="L5" s="355"/>
      <c r="M5" s="355"/>
      <c r="N5" s="352"/>
      <c r="O5" s="313"/>
    </row>
  </sheetData>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sheetPr>
    <tabColor theme="5" tint="-0.249977111117893"/>
  </sheetPr>
  <dimension ref="A1:N177"/>
  <sheetViews>
    <sheetView topLeftCell="D1" workbookViewId="0">
      <selection activeCell="A2" sqref="A2:N2"/>
    </sheetView>
  </sheetViews>
  <sheetFormatPr baseColWidth="10" defaultRowHeight="15"/>
  <cols>
    <col min="1" max="1" width="15.42578125" customWidth="1"/>
    <col min="2" max="3" width="15.5703125" bestFit="1" customWidth="1"/>
    <col min="4" max="4" width="17.5703125" bestFit="1" customWidth="1"/>
    <col min="5" max="5" width="15.5703125" bestFit="1" customWidth="1"/>
    <col min="6" max="6" width="17.42578125" bestFit="1" customWidth="1"/>
    <col min="7" max="7" width="15.5703125" bestFit="1" customWidth="1"/>
    <col min="8" max="8" width="15.5703125" customWidth="1"/>
    <col min="9" max="9" width="17.140625" bestFit="1" customWidth="1"/>
    <col min="10" max="10" width="17.42578125" bestFit="1" customWidth="1"/>
  </cols>
  <sheetData>
    <row r="1" spans="1:14" ht="63">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row>
    <row r="2" spans="1:14" ht="15.75">
      <c r="A2" s="369" t="s">
        <v>580</v>
      </c>
      <c r="B2" s="352" t="s">
        <v>85</v>
      </c>
      <c r="C2" s="352"/>
      <c r="D2" s="352"/>
      <c r="E2" s="352"/>
      <c r="F2" s="352"/>
      <c r="G2" s="353">
        <v>133256</v>
      </c>
      <c r="H2" s="353">
        <v>43520</v>
      </c>
      <c r="I2" s="377">
        <v>586871837</v>
      </c>
      <c r="J2" s="354">
        <v>0.90700000000000003</v>
      </c>
      <c r="K2" s="355"/>
      <c r="L2" s="355"/>
      <c r="M2" s="355"/>
      <c r="N2" s="352"/>
    </row>
    <row r="6" spans="1:14">
      <c r="A6" s="378" t="s">
        <v>581</v>
      </c>
      <c r="B6" s="313"/>
      <c r="C6" s="313"/>
      <c r="D6" s="313"/>
      <c r="E6" s="313"/>
      <c r="F6" s="313"/>
      <c r="G6" s="313"/>
      <c r="H6" s="313"/>
      <c r="I6" s="313"/>
      <c r="J6" s="313"/>
    </row>
    <row r="7" spans="1:14">
      <c r="A7" s="378" t="s">
        <v>582</v>
      </c>
      <c r="B7" s="313"/>
      <c r="C7" s="313"/>
      <c r="D7" s="313"/>
      <c r="E7" s="313"/>
      <c r="F7" s="313"/>
      <c r="G7" s="313"/>
      <c r="H7" s="313"/>
      <c r="I7" s="313"/>
      <c r="J7" s="313"/>
    </row>
    <row r="8" spans="1:14">
      <c r="A8" s="379"/>
      <c r="B8" s="313"/>
      <c r="C8" s="313"/>
      <c r="D8" s="313"/>
      <c r="E8" s="313"/>
      <c r="F8" s="313"/>
      <c r="G8" s="313"/>
      <c r="H8" s="313"/>
      <c r="I8" s="313"/>
      <c r="J8" s="313"/>
    </row>
    <row r="9" spans="1:14" ht="28.5">
      <c r="A9" s="380" t="s">
        <v>583</v>
      </c>
      <c r="B9" s="497" t="s">
        <v>282</v>
      </c>
      <c r="C9" s="498"/>
      <c r="D9" s="381" t="s">
        <v>584</v>
      </c>
      <c r="E9" s="381" t="s">
        <v>584</v>
      </c>
      <c r="F9" s="380" t="s">
        <v>584</v>
      </c>
      <c r="G9" s="380" t="s">
        <v>584</v>
      </c>
      <c r="H9" s="380" t="s">
        <v>584</v>
      </c>
      <c r="I9" s="381" t="s">
        <v>585</v>
      </c>
      <c r="J9" s="499" t="s">
        <v>586</v>
      </c>
    </row>
    <row r="10" spans="1:14">
      <c r="A10" s="502" t="s">
        <v>587</v>
      </c>
      <c r="B10" s="503" t="s">
        <v>588</v>
      </c>
      <c r="C10" s="503" t="s">
        <v>589</v>
      </c>
      <c r="D10" s="505" t="s">
        <v>590</v>
      </c>
      <c r="E10" s="503" t="s">
        <v>591</v>
      </c>
      <c r="F10" s="503" t="s">
        <v>592</v>
      </c>
      <c r="G10" s="382"/>
      <c r="H10" s="503" t="s">
        <v>593</v>
      </c>
      <c r="I10" s="503" t="s">
        <v>594</v>
      </c>
      <c r="J10" s="500"/>
    </row>
    <row r="11" spans="1:14" ht="57">
      <c r="A11" s="502"/>
      <c r="B11" s="504"/>
      <c r="C11" s="504"/>
      <c r="D11" s="506"/>
      <c r="E11" s="504"/>
      <c r="F11" s="504"/>
      <c r="G11" s="383" t="s">
        <v>595</v>
      </c>
      <c r="H11" s="504"/>
      <c r="I11" s="506"/>
      <c r="J11" s="501"/>
    </row>
    <row r="12" spans="1:14">
      <c r="A12" s="384" t="s">
        <v>596</v>
      </c>
      <c r="B12" s="385">
        <v>29718325</v>
      </c>
      <c r="C12" s="385">
        <v>25886568</v>
      </c>
      <c r="D12" s="386">
        <v>19690817</v>
      </c>
      <c r="E12" s="386"/>
      <c r="F12" s="386">
        <v>93705982</v>
      </c>
      <c r="G12" s="387">
        <v>0</v>
      </c>
      <c r="H12" s="386">
        <v>12649749</v>
      </c>
      <c r="I12" s="386">
        <v>621807</v>
      </c>
      <c r="J12" s="386">
        <f t="shared" ref="J12:J23" si="0">SUM(B12:I12)</f>
        <v>182273248</v>
      </c>
    </row>
    <row r="13" spans="1:14">
      <c r="A13" s="384" t="s">
        <v>597</v>
      </c>
      <c r="B13" s="385">
        <v>23641855</v>
      </c>
      <c r="C13" s="385">
        <v>20593572</v>
      </c>
      <c r="D13" s="386">
        <v>19751808</v>
      </c>
      <c r="E13" s="386">
        <v>15708000</v>
      </c>
      <c r="F13" s="386">
        <v>93996226</v>
      </c>
      <c r="G13" s="388">
        <v>17973333</v>
      </c>
      <c r="H13" s="386">
        <v>12688931</v>
      </c>
      <c r="I13" s="389">
        <v>599582</v>
      </c>
      <c r="J13" s="386">
        <f t="shared" si="0"/>
        <v>204953307</v>
      </c>
    </row>
    <row r="14" spans="1:14">
      <c r="A14" s="384" t="s">
        <v>598</v>
      </c>
      <c r="B14" s="385">
        <v>28174187</v>
      </c>
      <c r="C14" s="385">
        <v>24541524</v>
      </c>
      <c r="D14" s="386">
        <v>19834576</v>
      </c>
      <c r="E14" s="386">
        <v>15708000</v>
      </c>
      <c r="F14" s="386">
        <v>94390108</v>
      </c>
      <c r="G14" s="388">
        <v>17973333</v>
      </c>
      <c r="H14" s="386">
        <v>12742102</v>
      </c>
      <c r="I14" s="386">
        <v>601060</v>
      </c>
      <c r="J14" s="386">
        <f t="shared" si="0"/>
        <v>213964890</v>
      </c>
    </row>
    <row r="15" spans="1:14">
      <c r="A15" s="384" t="s">
        <v>599</v>
      </c>
      <c r="B15" s="385">
        <v>25232862</v>
      </c>
      <c r="C15" s="385">
        <v>21979442</v>
      </c>
      <c r="D15" s="386">
        <v>19974419</v>
      </c>
      <c r="E15" s="386">
        <v>15708000</v>
      </c>
      <c r="F15" s="386">
        <v>95055603</v>
      </c>
      <c r="G15" s="388">
        <v>17973333</v>
      </c>
      <c r="H15" s="386">
        <v>12831941</v>
      </c>
      <c r="I15" s="386">
        <v>561541</v>
      </c>
      <c r="J15" s="386">
        <f t="shared" si="0"/>
        <v>209317141</v>
      </c>
    </row>
    <row r="16" spans="1:14">
      <c r="A16" s="384" t="s">
        <v>600</v>
      </c>
      <c r="B16" s="385">
        <v>27655649</v>
      </c>
      <c r="C16" s="385">
        <v>24089844</v>
      </c>
      <c r="D16" s="386">
        <v>20107645</v>
      </c>
      <c r="E16" s="386">
        <v>15708000</v>
      </c>
      <c r="F16" s="386">
        <v>95688469</v>
      </c>
      <c r="G16" s="388">
        <v>17973333</v>
      </c>
      <c r="H16" s="386">
        <v>12917374</v>
      </c>
      <c r="I16" s="386">
        <v>602123</v>
      </c>
      <c r="J16" s="386">
        <f t="shared" si="0"/>
        <v>214742437</v>
      </c>
    </row>
    <row r="17" spans="1:12">
      <c r="A17" s="384" t="s">
        <v>601</v>
      </c>
      <c r="B17" s="385">
        <v>23203288</v>
      </c>
      <c r="C17" s="385">
        <v>20211552</v>
      </c>
      <c r="D17" s="386">
        <v>20184877</v>
      </c>
      <c r="E17" s="386">
        <v>15708000</v>
      </c>
      <c r="F17" s="386">
        <v>96056002</v>
      </c>
      <c r="G17" s="388">
        <v>17973333</v>
      </c>
      <c r="H17" s="386">
        <v>12966989</v>
      </c>
      <c r="I17" s="386">
        <v>554582</v>
      </c>
      <c r="J17" s="386">
        <f t="shared" si="0"/>
        <v>206858623</v>
      </c>
    </row>
    <row r="18" spans="1:12">
      <c r="A18" s="384" t="s">
        <v>602</v>
      </c>
      <c r="B18" s="385">
        <v>23802918</v>
      </c>
      <c r="C18" s="385">
        <v>20733869</v>
      </c>
      <c r="D18" s="386">
        <v>20217360</v>
      </c>
      <c r="E18" s="390">
        <v>15708000</v>
      </c>
      <c r="F18" s="391">
        <v>96210580</v>
      </c>
      <c r="G18" s="388">
        <v>17973333</v>
      </c>
      <c r="H18" s="391">
        <v>12987855</v>
      </c>
      <c r="I18" s="386">
        <v>572266</v>
      </c>
      <c r="J18" s="386">
        <f t="shared" si="0"/>
        <v>208206181</v>
      </c>
    </row>
    <row r="19" spans="1:12">
      <c r="A19" s="384" t="s">
        <v>603</v>
      </c>
      <c r="B19" s="385">
        <v>24223470</v>
      </c>
      <c r="C19" s="385">
        <v>21100196</v>
      </c>
      <c r="D19" s="386">
        <v>20251926</v>
      </c>
      <c r="E19" s="390">
        <v>15708000</v>
      </c>
      <c r="F19" s="391">
        <v>96375075</v>
      </c>
      <c r="G19" s="388">
        <v>17973333</v>
      </c>
      <c r="H19" s="391">
        <v>13010062</v>
      </c>
      <c r="I19" s="386">
        <v>568649</v>
      </c>
      <c r="J19" s="386">
        <f t="shared" si="0"/>
        <v>209210711</v>
      </c>
    </row>
    <row r="20" spans="1:12">
      <c r="A20" s="384" t="s">
        <v>604</v>
      </c>
      <c r="B20" s="385">
        <v>24744058</v>
      </c>
      <c r="C20" s="385">
        <v>21553662</v>
      </c>
      <c r="D20" s="386">
        <v>20306212</v>
      </c>
      <c r="E20" s="386">
        <v>15708000</v>
      </c>
      <c r="F20" s="392">
        <v>96633411</v>
      </c>
      <c r="G20" s="388">
        <v>17973333</v>
      </c>
      <c r="H20" s="391">
        <v>13044936</v>
      </c>
      <c r="I20" s="386">
        <v>577913</v>
      </c>
      <c r="J20" s="386">
        <f t="shared" si="0"/>
        <v>210541525</v>
      </c>
    </row>
    <row r="21" spans="1:12">
      <c r="A21" s="384" t="s">
        <v>605</v>
      </c>
      <c r="B21" s="385">
        <v>26845596</v>
      </c>
      <c r="C21" s="385">
        <v>23384236</v>
      </c>
      <c r="D21" s="386">
        <v>20439486</v>
      </c>
      <c r="E21" s="507" t="s">
        <v>606</v>
      </c>
      <c r="F21" s="392">
        <v>97268797</v>
      </c>
      <c r="G21" s="388">
        <v>17973333</v>
      </c>
      <c r="H21" s="392">
        <v>13044936</v>
      </c>
      <c r="I21" s="386">
        <v>576706</v>
      </c>
      <c r="J21" s="386">
        <f t="shared" si="0"/>
        <v>199533090</v>
      </c>
    </row>
    <row r="22" spans="1:12">
      <c r="A22" s="384" t="s">
        <v>607</v>
      </c>
      <c r="B22" s="385">
        <v>26886797</v>
      </c>
      <c r="C22" s="385">
        <v>23420172</v>
      </c>
      <c r="D22" s="386">
        <v>20630264</v>
      </c>
      <c r="E22" s="508"/>
      <c r="F22" s="392">
        <v>98175514</v>
      </c>
      <c r="G22" s="388">
        <v>17973333</v>
      </c>
      <c r="H22" s="510" t="s">
        <v>608</v>
      </c>
      <c r="I22" s="386">
        <v>590558</v>
      </c>
      <c r="J22" s="386">
        <f t="shared" si="0"/>
        <v>187676638</v>
      </c>
    </row>
    <row r="23" spans="1:12">
      <c r="A23" s="384" t="s">
        <v>609</v>
      </c>
      <c r="B23" s="385">
        <v>29527658</v>
      </c>
      <c r="C23" s="385">
        <v>25720537</v>
      </c>
      <c r="D23" s="386">
        <v>20691689</v>
      </c>
      <c r="E23" s="509"/>
      <c r="F23" s="392">
        <v>98469997</v>
      </c>
      <c r="G23" s="388">
        <v>17973333</v>
      </c>
      <c r="H23" s="511"/>
      <c r="I23" s="386">
        <v>575692</v>
      </c>
      <c r="J23" s="386">
        <f t="shared" si="0"/>
        <v>192958906</v>
      </c>
    </row>
    <row r="24" spans="1:12">
      <c r="A24" s="393" t="s">
        <v>610</v>
      </c>
      <c r="B24" s="394">
        <f t="shared" ref="B24:I24" si="1">SUM(B12:B23)</f>
        <v>313656663</v>
      </c>
      <c r="C24" s="394">
        <f t="shared" si="1"/>
        <v>273215174</v>
      </c>
      <c r="D24" s="394">
        <f t="shared" si="1"/>
        <v>242081079</v>
      </c>
      <c r="E24" s="394">
        <f>SUM(E13:E20)</f>
        <v>125664000</v>
      </c>
      <c r="F24" s="395">
        <f t="shared" si="1"/>
        <v>1152025764</v>
      </c>
      <c r="G24" s="395">
        <f t="shared" si="1"/>
        <v>197706663</v>
      </c>
      <c r="H24" s="394">
        <f t="shared" si="1"/>
        <v>128884875</v>
      </c>
      <c r="I24" s="394">
        <f t="shared" si="1"/>
        <v>7002479</v>
      </c>
      <c r="J24" s="394">
        <f>SUM(B24:I24)</f>
        <v>2440236697</v>
      </c>
    </row>
    <row r="25" spans="1:12" s="313" customFormat="1">
      <c r="A25" s="401"/>
      <c r="B25" s="402"/>
      <c r="C25" s="402"/>
      <c r="D25" s="402"/>
      <c r="E25" s="402"/>
      <c r="F25" s="403"/>
      <c r="G25" s="403"/>
      <c r="H25" s="402"/>
      <c r="I25" s="402"/>
      <c r="J25" s="402"/>
    </row>
    <row r="27" spans="1:12" ht="20.25" thickBot="1">
      <c r="A27" s="512" t="s">
        <v>611</v>
      </c>
      <c r="B27" s="512"/>
      <c r="C27" s="396"/>
      <c r="D27" s="396"/>
      <c r="E27" s="396"/>
      <c r="F27" s="396"/>
      <c r="G27" s="396"/>
      <c r="H27" s="313"/>
      <c r="I27" s="313"/>
      <c r="J27" s="313"/>
      <c r="K27" s="313"/>
      <c r="L27" s="313"/>
    </row>
    <row r="28" spans="1:12" ht="16.5" thickTop="1" thickBot="1">
      <c r="A28" s="313"/>
      <c r="B28" s="313"/>
      <c r="C28" s="313"/>
      <c r="D28" s="313"/>
      <c r="E28" s="313"/>
      <c r="F28" s="313"/>
      <c r="G28" s="313" t="s">
        <v>612</v>
      </c>
      <c r="H28" s="313"/>
      <c r="I28" s="313"/>
      <c r="J28" s="313"/>
      <c r="K28" s="313"/>
      <c r="L28" s="313"/>
    </row>
    <row r="29" spans="1:12" ht="15.75" thickTop="1">
      <c r="A29" s="397" t="s">
        <v>613</v>
      </c>
      <c r="B29" s="397" t="s">
        <v>614</v>
      </c>
      <c r="C29" s="397" t="s">
        <v>615</v>
      </c>
      <c r="D29" s="313"/>
      <c r="E29" s="313"/>
      <c r="F29" s="313"/>
      <c r="G29" s="313"/>
      <c r="H29" s="313"/>
      <c r="I29" s="313"/>
      <c r="J29" s="313"/>
      <c r="K29" s="313"/>
      <c r="L29" s="313"/>
    </row>
    <row r="30" spans="1:12">
      <c r="A30" s="355" t="s">
        <v>616</v>
      </c>
      <c r="B30" s="398">
        <f>302100/1000</f>
        <v>302.10000000000002</v>
      </c>
      <c r="C30" s="355">
        <v>53</v>
      </c>
      <c r="D30" s="313"/>
      <c r="E30" s="313"/>
      <c r="F30" s="313"/>
      <c r="G30" s="313"/>
      <c r="H30" s="313"/>
      <c r="I30" s="313"/>
      <c r="J30" s="313"/>
      <c r="K30" s="313"/>
      <c r="L30" s="313"/>
    </row>
    <row r="31" spans="1:12">
      <c r="A31" s="355" t="s">
        <v>617</v>
      </c>
      <c r="B31" s="398">
        <f>256900/1000</f>
        <v>256.89999999999998</v>
      </c>
      <c r="C31" s="355">
        <v>48</v>
      </c>
      <c r="D31" s="313"/>
      <c r="E31" s="313"/>
      <c r="F31" s="313"/>
      <c r="G31" s="313"/>
      <c r="H31" s="313"/>
      <c r="I31" s="313"/>
      <c r="J31" s="313"/>
      <c r="K31" s="313"/>
      <c r="L31" s="313"/>
    </row>
    <row r="32" spans="1:12">
      <c r="A32" s="355" t="s">
        <v>618</v>
      </c>
      <c r="B32" s="398">
        <f>282570/1000</f>
        <v>282.57</v>
      </c>
      <c r="C32" s="355">
        <v>50</v>
      </c>
      <c r="D32" s="313"/>
      <c r="E32" s="313"/>
      <c r="F32" s="313"/>
      <c r="G32" s="313"/>
      <c r="H32" s="313"/>
      <c r="I32" s="313"/>
      <c r="J32" s="313"/>
      <c r="K32" s="313"/>
      <c r="L32" s="313"/>
    </row>
    <row r="33" spans="1:12">
      <c r="A33" s="355" t="s">
        <v>599</v>
      </c>
      <c r="B33" s="398">
        <f>289520/1000</f>
        <v>289.52</v>
      </c>
      <c r="C33" s="355">
        <v>50</v>
      </c>
      <c r="D33" s="313"/>
      <c r="E33" s="313"/>
      <c r="F33" s="313"/>
      <c r="G33" s="313"/>
      <c r="H33" s="313"/>
      <c r="I33" s="313"/>
      <c r="J33" s="313"/>
      <c r="K33" s="313"/>
      <c r="L33" s="313"/>
    </row>
    <row r="34" spans="1:12">
      <c r="A34" s="355" t="s">
        <v>600</v>
      </c>
      <c r="B34" s="398">
        <f>310590/1000</f>
        <v>310.58999999999997</v>
      </c>
      <c r="C34" s="355">
        <v>52</v>
      </c>
      <c r="D34" s="313"/>
      <c r="E34" s="313"/>
      <c r="F34" s="313"/>
      <c r="G34" s="313"/>
      <c r="H34" s="313"/>
      <c r="I34" s="313"/>
      <c r="J34" s="313"/>
      <c r="K34" s="313"/>
      <c r="L34" s="313"/>
    </row>
    <row r="35" spans="1:12">
      <c r="A35" s="355" t="s">
        <v>601</v>
      </c>
      <c r="B35" s="398">
        <f>330760/1000</f>
        <v>330.76</v>
      </c>
      <c r="C35" s="355">
        <v>50</v>
      </c>
      <c r="D35" s="313"/>
      <c r="E35" s="313"/>
      <c r="F35" s="313"/>
      <c r="G35" s="313"/>
      <c r="H35" s="313"/>
      <c r="I35" s="313"/>
      <c r="J35" s="313"/>
      <c r="K35" s="313"/>
      <c r="L35" s="313"/>
    </row>
    <row r="36" spans="1:12">
      <c r="A36" s="355" t="s">
        <v>619</v>
      </c>
      <c r="B36" s="398">
        <f>330720/1000</f>
        <v>330.72</v>
      </c>
      <c r="C36" s="355">
        <v>52</v>
      </c>
      <c r="D36" s="313"/>
      <c r="E36" s="313"/>
      <c r="F36" s="313"/>
      <c r="G36" s="313"/>
      <c r="H36" s="313"/>
      <c r="I36" s="313"/>
      <c r="J36" s="313"/>
      <c r="K36" s="313"/>
      <c r="L36" s="313"/>
    </row>
    <row r="37" spans="1:12">
      <c r="A37" s="355" t="s">
        <v>620</v>
      </c>
      <c r="B37" s="398">
        <f>322510/1000</f>
        <v>322.51</v>
      </c>
      <c r="C37" s="355">
        <v>51</v>
      </c>
      <c r="D37" s="313"/>
      <c r="E37" s="313"/>
      <c r="F37" s="313"/>
      <c r="G37" s="313"/>
      <c r="H37" s="313"/>
      <c r="I37" s="313"/>
      <c r="J37" s="313"/>
      <c r="K37" s="313"/>
      <c r="L37" s="313"/>
    </row>
    <row r="38" spans="1:12">
      <c r="A38" s="355" t="s">
        <v>621</v>
      </c>
      <c r="B38" s="398">
        <f>285670/1000</f>
        <v>285.67</v>
      </c>
      <c r="C38" s="355">
        <v>48</v>
      </c>
      <c r="D38" s="313"/>
      <c r="E38" s="313"/>
      <c r="F38" s="313"/>
      <c r="G38" s="313"/>
      <c r="H38" s="313"/>
      <c r="I38" s="313"/>
      <c r="J38" s="313"/>
      <c r="K38" s="313"/>
      <c r="L38" s="313"/>
    </row>
    <row r="39" spans="1:12">
      <c r="A39" s="355" t="s">
        <v>622</v>
      </c>
      <c r="B39" s="398">
        <f>347140/1000</f>
        <v>347.14</v>
      </c>
      <c r="C39" s="355">
        <v>52</v>
      </c>
      <c r="D39" s="313"/>
      <c r="E39" s="313"/>
      <c r="F39" s="313"/>
      <c r="G39" s="313"/>
      <c r="H39" s="313"/>
      <c r="I39" s="313"/>
      <c r="J39" s="313"/>
      <c r="K39" s="313"/>
      <c r="L39" s="313"/>
    </row>
    <row r="40" spans="1:12">
      <c r="A40" s="355" t="s">
        <v>623</v>
      </c>
      <c r="B40" s="398">
        <v>275</v>
      </c>
      <c r="C40" s="355">
        <v>50</v>
      </c>
      <c r="D40" s="313"/>
      <c r="E40" s="313"/>
      <c r="F40" s="313"/>
      <c r="G40" s="313"/>
      <c r="H40" s="313"/>
      <c r="I40" s="313"/>
      <c r="J40" s="313"/>
      <c r="K40" s="313"/>
      <c r="L40" s="313"/>
    </row>
    <row r="41" spans="1:12">
      <c r="A41" s="355" t="s">
        <v>624</v>
      </c>
      <c r="B41" s="398">
        <f>309870/1000</f>
        <v>309.87</v>
      </c>
      <c r="C41" s="355">
        <v>50</v>
      </c>
      <c r="D41" s="313"/>
      <c r="E41" s="313"/>
      <c r="F41" s="313"/>
      <c r="G41" s="313"/>
      <c r="H41" s="313"/>
      <c r="I41" s="313"/>
      <c r="J41" s="313"/>
      <c r="K41" s="313"/>
      <c r="L41" s="313"/>
    </row>
    <row r="42" spans="1:12">
      <c r="A42" s="399" t="s">
        <v>392</v>
      </c>
      <c r="B42" s="400">
        <f>SUM(B30:B41)</f>
        <v>3643.35</v>
      </c>
      <c r="C42" s="399">
        <f>SUM(C30:C41)</f>
        <v>606</v>
      </c>
      <c r="D42" s="313"/>
      <c r="E42" s="313"/>
      <c r="F42" s="313"/>
      <c r="G42" s="313"/>
      <c r="H42" s="313"/>
      <c r="I42" s="313"/>
      <c r="J42" s="313"/>
      <c r="K42" s="313"/>
      <c r="L42" s="313"/>
    </row>
    <row r="43" spans="1:12">
      <c r="A43" s="313"/>
      <c r="B43" s="313"/>
      <c r="C43" s="313"/>
      <c r="D43" s="313"/>
      <c r="E43" s="313"/>
      <c r="F43" s="313"/>
      <c r="G43" s="313"/>
      <c r="H43" s="313"/>
      <c r="I43" s="313"/>
      <c r="J43" s="313"/>
      <c r="K43" s="313"/>
      <c r="L43" s="313"/>
    </row>
    <row r="44" spans="1:12">
      <c r="A44" s="313"/>
      <c r="B44" s="313"/>
      <c r="C44" s="313"/>
      <c r="D44" s="313"/>
      <c r="E44" s="313"/>
      <c r="F44" s="313"/>
      <c r="G44" s="313"/>
      <c r="H44" s="313"/>
      <c r="I44" s="313"/>
      <c r="J44" s="313"/>
      <c r="K44" s="313"/>
      <c r="L44" s="313"/>
    </row>
    <row r="45" spans="1:12">
      <c r="A45" s="313"/>
      <c r="B45" s="313"/>
      <c r="C45" s="313"/>
      <c r="D45" s="313"/>
      <c r="E45" s="313"/>
      <c r="F45" s="313"/>
      <c r="G45" s="313"/>
      <c r="H45" s="313"/>
      <c r="I45" s="313"/>
      <c r="J45" s="313"/>
      <c r="K45" s="313"/>
      <c r="L45" s="313"/>
    </row>
    <row r="46" spans="1:12">
      <c r="A46" s="109" t="s">
        <v>625</v>
      </c>
      <c r="B46" s="313"/>
      <c r="C46" s="313"/>
      <c r="D46" s="313"/>
      <c r="E46" s="313"/>
      <c r="F46" s="313"/>
      <c r="G46" s="313"/>
      <c r="H46" s="313"/>
      <c r="I46" s="313"/>
      <c r="J46" s="313"/>
      <c r="K46" s="313"/>
      <c r="L46" s="313"/>
    </row>
    <row r="49" spans="1:12" ht="20.25" thickBot="1">
      <c r="A49" s="404" t="s">
        <v>626</v>
      </c>
      <c r="B49" s="404"/>
      <c r="C49" s="396"/>
      <c r="D49" s="396"/>
      <c r="E49" s="396"/>
      <c r="F49" s="396"/>
      <c r="G49" s="396"/>
      <c r="H49" s="313"/>
      <c r="I49" s="313"/>
      <c r="J49" s="313"/>
      <c r="K49" s="313"/>
      <c r="L49" s="313"/>
    </row>
    <row r="50" spans="1:12" ht="16.5" thickTop="1" thickBot="1">
      <c r="A50" s="313"/>
      <c r="B50" s="313"/>
      <c r="C50" s="313"/>
      <c r="D50" s="313"/>
      <c r="E50" s="313"/>
      <c r="F50" s="313"/>
      <c r="G50" s="313" t="s">
        <v>627</v>
      </c>
      <c r="H50" s="313"/>
      <c r="I50" s="313"/>
      <c r="J50" s="313"/>
      <c r="K50" s="313"/>
      <c r="L50" s="313"/>
    </row>
    <row r="51" spans="1:12" ht="16.5" thickTop="1" thickBot="1">
      <c r="A51" s="405" t="s">
        <v>613</v>
      </c>
      <c r="B51" s="405" t="s">
        <v>614</v>
      </c>
      <c r="C51" s="405" t="s">
        <v>615</v>
      </c>
      <c r="D51" s="313"/>
      <c r="E51" s="313"/>
      <c r="F51" s="313"/>
      <c r="G51" s="313"/>
      <c r="H51" s="313"/>
      <c r="I51" s="313"/>
      <c r="J51" s="313"/>
      <c r="K51" s="313"/>
      <c r="L51" s="313"/>
    </row>
    <row r="52" spans="1:12" ht="15.75" thickTop="1">
      <c r="A52" s="355" t="s">
        <v>616</v>
      </c>
      <c r="B52" s="398">
        <f>276090/1000</f>
        <v>276.08999999999997</v>
      </c>
      <c r="C52" s="355">
        <v>85</v>
      </c>
      <c r="D52" s="313"/>
      <c r="E52" s="313"/>
      <c r="F52" s="313"/>
      <c r="G52" s="313"/>
      <c r="H52" s="313"/>
      <c r="I52" s="313"/>
      <c r="J52" s="313"/>
      <c r="K52" s="313"/>
      <c r="L52" s="313"/>
    </row>
    <row r="53" spans="1:12">
      <c r="A53" s="355" t="s">
        <v>617</v>
      </c>
      <c r="B53" s="398">
        <f>58870/1000</f>
        <v>58.87</v>
      </c>
      <c r="C53" s="355">
        <v>23</v>
      </c>
      <c r="D53" s="313"/>
      <c r="E53" s="313"/>
      <c r="F53" s="313"/>
      <c r="G53" s="313"/>
      <c r="H53" s="313"/>
      <c r="I53" s="313"/>
      <c r="J53" s="313"/>
      <c r="K53" s="313"/>
      <c r="L53" s="313"/>
    </row>
    <row r="54" spans="1:12">
      <c r="A54" s="355" t="s">
        <v>618</v>
      </c>
      <c r="B54" s="398">
        <f>341280/1000</f>
        <v>341.28</v>
      </c>
      <c r="C54" s="355">
        <v>116</v>
      </c>
      <c r="D54" s="313"/>
      <c r="E54" s="313"/>
      <c r="F54" s="313"/>
      <c r="G54" s="313"/>
      <c r="H54" s="313"/>
      <c r="I54" s="313"/>
      <c r="J54" s="313"/>
      <c r="K54" s="313"/>
      <c r="L54" s="313"/>
    </row>
    <row r="55" spans="1:12">
      <c r="A55" s="355" t="s">
        <v>599</v>
      </c>
      <c r="B55" s="398">
        <f>298720/1000</f>
        <v>298.72000000000003</v>
      </c>
      <c r="C55" s="355">
        <v>121</v>
      </c>
      <c r="D55" s="313"/>
      <c r="E55" s="313"/>
      <c r="F55" s="313"/>
      <c r="G55" s="313"/>
      <c r="H55" s="313"/>
      <c r="I55" s="313"/>
      <c r="J55" s="313"/>
      <c r="K55" s="313"/>
      <c r="L55" s="313"/>
    </row>
    <row r="56" spans="1:12">
      <c r="A56" s="355" t="s">
        <v>600</v>
      </c>
      <c r="B56" s="398">
        <f>312860/1000</f>
        <v>312.86</v>
      </c>
      <c r="C56" s="355">
        <v>116</v>
      </c>
      <c r="D56" s="313"/>
      <c r="E56" s="313"/>
      <c r="F56" s="313"/>
      <c r="G56" s="313"/>
      <c r="H56" s="313"/>
      <c r="I56" s="313"/>
      <c r="J56" s="313"/>
      <c r="K56" s="313"/>
      <c r="L56" s="313"/>
    </row>
    <row r="57" spans="1:12">
      <c r="A57" s="355" t="s">
        <v>601</v>
      </c>
      <c r="B57" s="398">
        <f>366970/1000</f>
        <v>366.97</v>
      </c>
      <c r="C57" s="355">
        <v>120</v>
      </c>
      <c r="D57" s="313"/>
      <c r="E57" s="313"/>
      <c r="F57" s="313"/>
      <c r="G57" s="313"/>
      <c r="H57" s="313"/>
      <c r="I57" s="313"/>
      <c r="J57" s="313"/>
      <c r="K57" s="313"/>
      <c r="L57" s="313"/>
    </row>
    <row r="58" spans="1:12">
      <c r="A58" s="355" t="s">
        <v>619</v>
      </c>
      <c r="B58" s="398">
        <f>222600/1000</f>
        <v>222.6</v>
      </c>
      <c r="C58" s="355">
        <v>89</v>
      </c>
      <c r="D58" s="313"/>
      <c r="E58" s="313"/>
      <c r="F58" s="313"/>
      <c r="G58" s="313"/>
      <c r="H58" s="313"/>
      <c r="I58" s="313"/>
      <c r="J58" s="313"/>
      <c r="K58" s="313"/>
      <c r="L58" s="313"/>
    </row>
    <row r="59" spans="1:12">
      <c r="A59" s="355" t="s">
        <v>620</v>
      </c>
      <c r="B59" s="398">
        <f>211820/1000</f>
        <v>211.82</v>
      </c>
      <c r="C59" s="355">
        <v>94</v>
      </c>
      <c r="D59" s="313"/>
      <c r="E59" s="313"/>
      <c r="F59" s="313"/>
      <c r="G59" s="313"/>
      <c r="H59" s="313"/>
      <c r="I59" s="313"/>
      <c r="J59" s="313"/>
      <c r="K59" s="313"/>
      <c r="L59" s="313"/>
    </row>
    <row r="60" spans="1:12">
      <c r="A60" s="355" t="s">
        <v>621</v>
      </c>
      <c r="B60" s="398">
        <f>248650/1000</f>
        <v>248.65</v>
      </c>
      <c r="C60" s="355">
        <v>97</v>
      </c>
      <c r="D60" s="313"/>
      <c r="E60" s="313"/>
      <c r="F60" s="313"/>
      <c r="G60" s="313"/>
      <c r="H60" s="313"/>
      <c r="I60" s="313"/>
      <c r="J60" s="313"/>
      <c r="K60" s="313"/>
      <c r="L60" s="313"/>
    </row>
    <row r="61" spans="1:12">
      <c r="A61" s="355" t="s">
        <v>622</v>
      </c>
      <c r="B61" s="398">
        <f>473630/1000</f>
        <v>473.63</v>
      </c>
      <c r="C61" s="355">
        <v>140</v>
      </c>
      <c r="D61" s="313"/>
      <c r="E61" s="313"/>
      <c r="F61" s="313"/>
      <c r="G61" s="313"/>
      <c r="H61" s="313"/>
      <c r="I61" s="313"/>
      <c r="J61" s="313"/>
      <c r="K61" s="313"/>
      <c r="L61" s="313"/>
    </row>
    <row r="62" spans="1:12">
      <c r="A62" s="355" t="s">
        <v>623</v>
      </c>
      <c r="B62" s="398">
        <v>649</v>
      </c>
      <c r="C62" s="355">
        <v>218</v>
      </c>
      <c r="D62" s="313"/>
      <c r="E62" s="313"/>
      <c r="F62" s="313"/>
      <c r="G62" s="313"/>
      <c r="H62" s="313"/>
      <c r="I62" s="313"/>
      <c r="J62" s="313"/>
      <c r="K62" s="313"/>
      <c r="L62" s="313"/>
    </row>
    <row r="63" spans="1:12">
      <c r="A63" s="355" t="s">
        <v>624</v>
      </c>
      <c r="B63" s="398">
        <f>647700/1000</f>
        <v>647.70000000000005</v>
      </c>
      <c r="C63" s="355">
        <v>206</v>
      </c>
      <c r="D63" s="313"/>
      <c r="E63" s="313"/>
      <c r="F63" s="313"/>
      <c r="G63" s="313"/>
      <c r="H63" s="313"/>
      <c r="I63" s="313"/>
      <c r="J63" s="313"/>
      <c r="K63" s="313"/>
      <c r="L63" s="313"/>
    </row>
    <row r="64" spans="1:12">
      <c r="A64" s="399" t="s">
        <v>392</v>
      </c>
      <c r="B64" s="400">
        <f>SUM(B52:B63)</f>
        <v>4108.1900000000005</v>
      </c>
      <c r="C64" s="399">
        <f>SUM(C52:C63)</f>
        <v>1425</v>
      </c>
      <c r="D64" s="313"/>
      <c r="E64" s="313"/>
      <c r="F64" s="313"/>
      <c r="G64" s="313"/>
      <c r="H64" s="313"/>
      <c r="I64" s="313"/>
      <c r="J64" s="313"/>
      <c r="K64" s="313"/>
      <c r="L64" s="313"/>
    </row>
    <row r="65" spans="1:12">
      <c r="A65" s="313"/>
      <c r="B65" s="313"/>
      <c r="C65" s="313"/>
      <c r="D65" s="313"/>
      <c r="E65" s="313"/>
      <c r="F65" s="313"/>
      <c r="G65" s="313"/>
      <c r="H65" s="313"/>
      <c r="I65" s="313"/>
      <c r="J65" s="313"/>
      <c r="K65" s="313"/>
      <c r="L65" s="313"/>
    </row>
    <row r="66" spans="1:12">
      <c r="A66" s="313"/>
      <c r="B66" s="313"/>
      <c r="C66" s="313"/>
      <c r="D66" s="313"/>
      <c r="E66" s="313"/>
      <c r="F66" s="313"/>
      <c r="G66" s="313"/>
      <c r="H66" s="313"/>
      <c r="I66" s="313"/>
      <c r="J66" s="313"/>
      <c r="K66" s="313"/>
      <c r="L66" s="313"/>
    </row>
    <row r="67" spans="1:12">
      <c r="A67" s="109" t="s">
        <v>628</v>
      </c>
      <c r="B67" s="313"/>
      <c r="C67" s="313"/>
      <c r="D67" s="313"/>
      <c r="E67" s="313"/>
      <c r="F67" s="313"/>
      <c r="G67" s="313"/>
      <c r="H67" s="313"/>
      <c r="I67" s="313"/>
      <c r="J67" s="313"/>
      <c r="K67" s="313"/>
      <c r="L67" s="313"/>
    </row>
    <row r="70" spans="1:12" ht="20.25" thickBot="1">
      <c r="A70" s="512" t="s">
        <v>629</v>
      </c>
      <c r="B70" s="512"/>
      <c r="C70" s="512"/>
      <c r="D70" s="512"/>
      <c r="E70" s="512"/>
      <c r="F70" s="512"/>
      <c r="G70" s="512"/>
      <c r="H70" s="512"/>
      <c r="I70" s="313"/>
    </row>
    <row r="71" spans="1:12" ht="16.5" thickTop="1" thickBot="1">
      <c r="A71" s="313"/>
      <c r="B71" s="313"/>
      <c r="C71" s="313"/>
      <c r="D71" s="313"/>
      <c r="E71" s="313"/>
      <c r="F71" s="313"/>
      <c r="G71" s="313"/>
      <c r="H71" s="313"/>
      <c r="I71" s="313"/>
    </row>
    <row r="72" spans="1:12" ht="16.5" thickTop="1" thickBot="1">
      <c r="A72" s="405" t="s">
        <v>613</v>
      </c>
      <c r="B72" s="406" t="s">
        <v>614</v>
      </c>
      <c r="C72" s="407" t="s">
        <v>615</v>
      </c>
      <c r="D72" s="313"/>
      <c r="E72" s="313"/>
      <c r="F72" s="313"/>
      <c r="G72" s="313"/>
      <c r="H72" s="313"/>
      <c r="I72" s="313"/>
    </row>
    <row r="73" spans="1:12" ht="15.75" thickTop="1">
      <c r="A73" s="355" t="s">
        <v>616</v>
      </c>
      <c r="B73" s="408">
        <f>4084820/1000</f>
        <v>4084.82</v>
      </c>
      <c r="C73" s="355">
        <v>572</v>
      </c>
      <c r="D73" s="313"/>
      <c r="E73" s="109" t="s">
        <v>630</v>
      </c>
      <c r="F73" s="313"/>
      <c r="G73" s="313"/>
      <c r="H73" s="313"/>
      <c r="I73" s="313"/>
    </row>
    <row r="74" spans="1:12">
      <c r="A74" s="355" t="s">
        <v>617</v>
      </c>
      <c r="B74" s="408">
        <f>3408370/1000</f>
        <v>3408.37</v>
      </c>
      <c r="C74" s="355">
        <v>491</v>
      </c>
      <c r="D74" s="313"/>
      <c r="E74" s="409" t="s">
        <v>631</v>
      </c>
      <c r="F74" s="409" t="s">
        <v>632</v>
      </c>
      <c r="G74" s="313"/>
      <c r="H74" s="313"/>
      <c r="I74" s="313"/>
    </row>
    <row r="75" spans="1:12">
      <c r="A75" s="355" t="s">
        <v>618</v>
      </c>
      <c r="B75" s="408">
        <f>3773030/1000</f>
        <v>3773.03</v>
      </c>
      <c r="C75" s="355">
        <v>554</v>
      </c>
      <c r="D75" s="313"/>
      <c r="E75" s="355">
        <f>B85*1000</f>
        <v>43519550</v>
      </c>
      <c r="F75" s="410">
        <f>E75/12/30/133256</f>
        <v>0.90718345807234868</v>
      </c>
      <c r="G75" s="313"/>
      <c r="H75" s="313"/>
      <c r="I75" s="313"/>
    </row>
    <row r="76" spans="1:12">
      <c r="A76" s="355" t="s">
        <v>599</v>
      </c>
      <c r="B76" s="408">
        <f>3513770/1000</f>
        <v>3513.77</v>
      </c>
      <c r="C76" s="355">
        <v>524</v>
      </c>
      <c r="D76" s="313"/>
      <c r="E76" s="313"/>
      <c r="F76" s="313"/>
      <c r="G76" s="313"/>
      <c r="H76" s="313"/>
      <c r="I76" s="313"/>
    </row>
    <row r="77" spans="1:12">
      <c r="A77" s="355" t="s">
        <v>600</v>
      </c>
      <c r="B77" s="408">
        <f>3869350/1000</f>
        <v>3869.35</v>
      </c>
      <c r="C77" s="355">
        <v>534</v>
      </c>
      <c r="D77" s="313"/>
      <c r="E77" s="313"/>
      <c r="F77" s="313"/>
      <c r="G77" s="313"/>
      <c r="H77" s="313"/>
      <c r="I77" s="313"/>
    </row>
    <row r="78" spans="1:12">
      <c r="A78" s="355" t="s">
        <v>601</v>
      </c>
      <c r="B78" s="408">
        <f>3162970/1000</f>
        <v>3162.97</v>
      </c>
      <c r="C78" s="355">
        <v>466</v>
      </c>
      <c r="D78" s="313"/>
      <c r="E78" s="313"/>
      <c r="F78" s="313"/>
      <c r="G78" s="313"/>
      <c r="H78" s="313"/>
      <c r="I78" s="313"/>
    </row>
    <row r="79" spans="1:12">
      <c r="A79" s="355" t="s">
        <v>619</v>
      </c>
      <c r="B79" s="408">
        <f>3339820/1000</f>
        <v>3339.82</v>
      </c>
      <c r="C79" s="355">
        <v>502</v>
      </c>
      <c r="D79" s="313"/>
      <c r="E79" s="313"/>
      <c r="F79" s="313"/>
      <c r="G79" s="313"/>
      <c r="H79" s="313"/>
      <c r="I79" s="313"/>
    </row>
    <row r="80" spans="1:12">
      <c r="A80" s="355" t="s">
        <v>620</v>
      </c>
      <c r="B80" s="408">
        <f>3372360/1000</f>
        <v>3372.36</v>
      </c>
      <c r="C80" s="355">
        <v>511</v>
      </c>
      <c r="D80" s="313"/>
      <c r="E80" s="313"/>
      <c r="F80" s="313"/>
      <c r="G80" s="313"/>
      <c r="H80" s="313"/>
      <c r="I80" s="313"/>
    </row>
    <row r="81" spans="1:11">
      <c r="A81" s="355" t="s">
        <v>621</v>
      </c>
      <c r="B81" s="408">
        <f>3646570/1000</f>
        <v>3646.57</v>
      </c>
      <c r="C81" s="355">
        <v>506</v>
      </c>
      <c r="D81" s="313"/>
      <c r="E81" s="313"/>
      <c r="F81" s="313"/>
      <c r="G81" s="313"/>
      <c r="H81" s="313"/>
      <c r="I81" s="313"/>
    </row>
    <row r="82" spans="1:11">
      <c r="A82" s="355" t="s">
        <v>622</v>
      </c>
      <c r="B82" s="408">
        <f>3776490/1000</f>
        <v>3776.49</v>
      </c>
      <c r="C82" s="355">
        <v>539</v>
      </c>
      <c r="D82" s="313"/>
      <c r="E82" s="313"/>
      <c r="F82" s="313"/>
      <c r="G82" s="313"/>
      <c r="H82" s="313"/>
      <c r="I82" s="313"/>
    </row>
    <row r="83" spans="1:11">
      <c r="A83" s="355" t="s">
        <v>623</v>
      </c>
      <c r="B83" s="408">
        <v>3500</v>
      </c>
      <c r="C83" s="355">
        <v>516</v>
      </c>
      <c r="D83" s="313"/>
      <c r="E83" s="313"/>
      <c r="F83" s="313"/>
      <c r="G83" s="313"/>
      <c r="H83" s="313"/>
      <c r="I83" s="313"/>
    </row>
    <row r="84" spans="1:11">
      <c r="A84" s="355" t="s">
        <v>624</v>
      </c>
      <c r="B84" s="408">
        <f>4072000/1000</f>
        <v>4072</v>
      </c>
      <c r="C84" s="355">
        <v>588</v>
      </c>
      <c r="D84" s="313"/>
      <c r="E84" s="313"/>
      <c r="F84" s="313"/>
      <c r="G84" s="313"/>
      <c r="H84" s="313"/>
      <c r="I84" s="313"/>
    </row>
    <row r="85" spans="1:11">
      <c r="A85" s="399" t="s">
        <v>392</v>
      </c>
      <c r="B85" s="411">
        <f>SUM(B73:B84)</f>
        <v>43519.55</v>
      </c>
      <c r="C85" s="399">
        <f>SUM(C73:C84)</f>
        <v>6303</v>
      </c>
      <c r="D85" s="313"/>
      <c r="E85" s="412"/>
      <c r="F85" s="413"/>
      <c r="G85" s="414"/>
      <c r="H85" s="313"/>
      <c r="I85" s="313"/>
    </row>
    <row r="86" spans="1:11">
      <c r="A86" s="313"/>
      <c r="B86" s="313"/>
      <c r="C86" s="313"/>
      <c r="D86" s="313"/>
      <c r="E86" s="313"/>
      <c r="F86" s="313"/>
      <c r="G86" s="313"/>
      <c r="H86" s="313"/>
      <c r="I86" s="313"/>
    </row>
    <row r="87" spans="1:11">
      <c r="A87" s="313"/>
      <c r="B87" s="313"/>
      <c r="C87" s="313"/>
      <c r="D87" s="313"/>
      <c r="E87" s="313"/>
      <c r="F87" s="313"/>
      <c r="G87" s="313"/>
      <c r="H87" s="313"/>
      <c r="I87" s="313"/>
    </row>
    <row r="88" spans="1:11">
      <c r="A88" s="313"/>
      <c r="B88" s="313"/>
      <c r="C88" s="313"/>
      <c r="D88" s="313"/>
      <c r="E88" s="313"/>
      <c r="F88" s="313"/>
      <c r="G88" s="313"/>
      <c r="H88" s="313"/>
      <c r="I88" s="313"/>
    </row>
    <row r="89" spans="1:11">
      <c r="A89" s="313"/>
      <c r="B89" s="313"/>
      <c r="C89" s="313"/>
      <c r="D89" s="313"/>
      <c r="E89" s="313"/>
      <c r="F89" s="313"/>
      <c r="G89" s="313"/>
      <c r="H89" s="313"/>
      <c r="I89" s="313"/>
    </row>
    <row r="90" spans="1:11">
      <c r="A90" s="313"/>
      <c r="B90" s="313"/>
      <c r="C90" s="313"/>
      <c r="D90" s="313"/>
      <c r="E90" s="313"/>
      <c r="F90" s="313"/>
      <c r="G90" s="313"/>
      <c r="H90" s="313"/>
      <c r="I90" s="313"/>
    </row>
    <row r="91" spans="1:11">
      <c r="A91" s="313"/>
      <c r="B91" s="313"/>
      <c r="C91" s="313"/>
      <c r="D91" s="313"/>
      <c r="E91" s="313"/>
      <c r="F91" s="313"/>
      <c r="G91" s="313"/>
      <c r="H91" s="313"/>
      <c r="I91" s="313"/>
    </row>
    <row r="92" spans="1:11">
      <c r="A92" s="313"/>
      <c r="B92" s="313"/>
      <c r="C92" s="313"/>
      <c r="D92" s="313"/>
      <c r="E92" s="313"/>
      <c r="F92" s="313"/>
      <c r="G92" s="313"/>
      <c r="H92" s="313"/>
      <c r="I92" s="313"/>
    </row>
    <row r="94" spans="1:11" ht="20.25" thickBot="1">
      <c r="A94" s="404" t="s">
        <v>633</v>
      </c>
      <c r="B94" s="404"/>
      <c r="C94" s="404"/>
      <c r="D94" s="404"/>
      <c r="E94" s="404"/>
      <c r="F94" s="404"/>
      <c r="G94" s="396"/>
      <c r="H94" s="313"/>
      <c r="I94" s="313"/>
      <c r="J94" s="313"/>
      <c r="K94" s="313"/>
    </row>
    <row r="95" spans="1:11" ht="16.5" thickTop="1" thickBot="1">
      <c r="A95" s="313"/>
      <c r="B95" s="313"/>
      <c r="C95" s="313"/>
      <c r="D95" s="313"/>
      <c r="E95" s="313"/>
      <c r="F95" s="313"/>
      <c r="G95" s="313" t="s">
        <v>634</v>
      </c>
      <c r="H95" s="313"/>
      <c r="I95" s="313"/>
      <c r="J95" s="313"/>
      <c r="K95" s="313"/>
    </row>
    <row r="96" spans="1:11" ht="16.5" thickTop="1" thickBot="1">
      <c r="A96" s="405" t="s">
        <v>613</v>
      </c>
      <c r="B96" s="405" t="s">
        <v>614</v>
      </c>
      <c r="C96" s="405" t="s">
        <v>615</v>
      </c>
      <c r="D96" s="313"/>
      <c r="E96" s="313"/>
      <c r="F96" s="313"/>
      <c r="G96" s="313"/>
      <c r="H96" s="313"/>
      <c r="I96" s="313"/>
      <c r="J96" s="313"/>
      <c r="K96" s="313"/>
    </row>
    <row r="97" spans="1:13" ht="15.75" thickTop="1">
      <c r="A97" s="355" t="s">
        <v>616</v>
      </c>
      <c r="B97" s="398">
        <v>765.84</v>
      </c>
      <c r="C97" s="355">
        <v>177</v>
      </c>
      <c r="D97" s="313"/>
      <c r="E97" s="313"/>
      <c r="F97" s="313"/>
      <c r="G97" s="313"/>
      <c r="H97" s="313"/>
      <c r="I97" s="313"/>
      <c r="J97" s="313"/>
      <c r="K97" s="313"/>
    </row>
    <row r="98" spans="1:13">
      <c r="A98" s="355" t="s">
        <v>617</v>
      </c>
      <c r="B98" s="398">
        <v>657.29</v>
      </c>
      <c r="C98" s="355">
        <v>151</v>
      </c>
      <c r="D98" s="313"/>
      <c r="E98" s="313"/>
      <c r="F98" s="313"/>
      <c r="G98" s="313"/>
      <c r="H98" s="313"/>
      <c r="I98" s="313"/>
      <c r="J98" s="313"/>
      <c r="K98" s="313"/>
    </row>
    <row r="99" spans="1:13">
      <c r="A99" s="355" t="s">
        <v>618</v>
      </c>
      <c r="B99" s="398">
        <v>660.59</v>
      </c>
      <c r="C99" s="355">
        <v>163</v>
      </c>
      <c r="D99" s="313"/>
      <c r="E99" s="313"/>
      <c r="F99" s="313"/>
      <c r="G99" s="313"/>
      <c r="H99" s="313"/>
      <c r="I99" s="313"/>
      <c r="J99" s="313"/>
      <c r="K99" s="313"/>
    </row>
    <row r="100" spans="1:13">
      <c r="A100" s="355" t="s">
        <v>599</v>
      </c>
      <c r="B100" s="398">
        <v>702.27</v>
      </c>
      <c r="C100" s="355">
        <v>165</v>
      </c>
      <c r="D100" s="313"/>
      <c r="E100" s="313"/>
      <c r="F100" s="313"/>
      <c r="G100" s="313"/>
      <c r="H100" s="313"/>
      <c r="I100" s="313"/>
      <c r="J100" s="313"/>
      <c r="K100" s="313"/>
    </row>
    <row r="101" spans="1:13">
      <c r="A101" s="355" t="s">
        <v>600</v>
      </c>
      <c r="B101" s="398">
        <v>739.55</v>
      </c>
      <c r="C101" s="355">
        <v>175</v>
      </c>
      <c r="D101" s="313"/>
      <c r="E101" s="313"/>
      <c r="F101" s="313"/>
      <c r="G101" s="313"/>
      <c r="H101" s="313"/>
      <c r="I101" s="313"/>
      <c r="J101" s="313"/>
      <c r="K101" s="313"/>
    </row>
    <row r="102" spans="1:13">
      <c r="A102" s="355" t="s">
        <v>601</v>
      </c>
      <c r="B102" s="398">
        <v>436.11</v>
      </c>
      <c r="C102" s="355">
        <v>134</v>
      </c>
      <c r="D102" s="313"/>
      <c r="E102" s="313"/>
      <c r="F102" s="313"/>
      <c r="G102" s="313"/>
      <c r="H102" s="313"/>
      <c r="I102" s="313"/>
      <c r="J102" s="313"/>
      <c r="K102" s="313"/>
    </row>
    <row r="103" spans="1:13">
      <c r="A103" s="355" t="s">
        <v>619</v>
      </c>
      <c r="B103" s="398">
        <f>513650/1000</f>
        <v>513.65</v>
      </c>
      <c r="C103" s="355">
        <v>163</v>
      </c>
      <c r="D103" s="313"/>
      <c r="E103" s="313"/>
      <c r="F103" s="313"/>
      <c r="G103" s="313"/>
      <c r="H103" s="313"/>
      <c r="I103" s="313"/>
      <c r="J103" s="313"/>
      <c r="K103" s="313"/>
    </row>
    <row r="104" spans="1:13">
      <c r="A104" s="355" t="s">
        <v>620</v>
      </c>
      <c r="B104" s="398">
        <f>537430/1000</f>
        <v>537.42999999999995</v>
      </c>
      <c r="C104" s="355">
        <v>132</v>
      </c>
      <c r="D104" s="313"/>
      <c r="E104" s="313"/>
      <c r="F104" s="313"/>
      <c r="G104" s="313"/>
      <c r="H104" s="313"/>
      <c r="I104" s="313"/>
      <c r="J104" s="313"/>
      <c r="K104" s="313"/>
    </row>
    <row r="105" spans="1:13">
      <c r="A105" s="355" t="s">
        <v>621</v>
      </c>
      <c r="B105" s="398">
        <f>506810/1000</f>
        <v>506.81</v>
      </c>
      <c r="C105" s="355">
        <v>131</v>
      </c>
      <c r="D105" s="313"/>
      <c r="E105" s="313"/>
      <c r="F105" s="313"/>
      <c r="G105" s="313"/>
      <c r="H105" s="313"/>
      <c r="I105" s="313"/>
      <c r="J105" s="313"/>
      <c r="K105" s="313"/>
    </row>
    <row r="106" spans="1:13">
      <c r="A106" s="355" t="s">
        <v>622</v>
      </c>
      <c r="B106" s="398">
        <f>507130/1000</f>
        <v>507.13</v>
      </c>
      <c r="C106" s="355">
        <v>136</v>
      </c>
      <c r="D106" s="313"/>
      <c r="E106" s="313"/>
      <c r="F106" s="313"/>
      <c r="G106" s="313"/>
      <c r="H106" s="313"/>
      <c r="I106" s="313"/>
      <c r="J106" s="313"/>
      <c r="K106" s="313"/>
    </row>
    <row r="107" spans="1:13">
      <c r="A107" s="355" t="s">
        <v>623</v>
      </c>
      <c r="B107" s="398">
        <v>671</v>
      </c>
      <c r="C107" s="355">
        <v>166</v>
      </c>
      <c r="D107" s="313"/>
      <c r="E107" s="313"/>
      <c r="F107" s="313"/>
      <c r="G107" s="313"/>
      <c r="H107" s="313"/>
      <c r="I107" s="313"/>
      <c r="J107" s="313"/>
      <c r="K107" s="313"/>
    </row>
    <row r="108" spans="1:13">
      <c r="A108" s="355" t="s">
        <v>624</v>
      </c>
      <c r="B108" s="398">
        <f>582090/1000</f>
        <v>582.09</v>
      </c>
      <c r="C108" s="355">
        <v>151</v>
      </c>
      <c r="D108" s="313"/>
      <c r="E108" s="313"/>
      <c r="F108" s="313"/>
      <c r="G108" s="313"/>
      <c r="H108" s="313"/>
      <c r="I108" s="313"/>
      <c r="J108" s="313"/>
      <c r="K108" s="313"/>
    </row>
    <row r="109" spans="1:13">
      <c r="A109" s="399" t="s">
        <v>392</v>
      </c>
      <c r="B109" s="400">
        <f>SUM(B97:B108)</f>
        <v>7279.7600000000011</v>
      </c>
      <c r="C109" s="399">
        <f>SUM(C97:C108)</f>
        <v>1844</v>
      </c>
      <c r="D109" s="313"/>
      <c r="E109" s="313"/>
      <c r="F109" s="313"/>
      <c r="G109" s="313"/>
      <c r="H109" s="313"/>
      <c r="I109" s="313"/>
      <c r="J109" s="313"/>
      <c r="K109" s="313"/>
    </row>
    <row r="110" spans="1:13">
      <c r="A110" s="313"/>
      <c r="B110" s="313"/>
      <c r="C110" s="313"/>
      <c r="D110" s="313"/>
      <c r="E110" s="313"/>
      <c r="F110" s="313"/>
      <c r="G110" s="313"/>
      <c r="H110" s="313"/>
      <c r="I110" s="313"/>
      <c r="J110" s="313"/>
      <c r="K110" s="313"/>
    </row>
    <row r="112" spans="1:13" ht="20.25" thickBot="1">
      <c r="A112" s="404" t="s">
        <v>635</v>
      </c>
      <c r="B112" s="404"/>
      <c r="C112" s="404"/>
      <c r="D112" s="396"/>
      <c r="E112" s="396"/>
      <c r="F112" s="396"/>
      <c r="G112" s="396"/>
      <c r="H112" s="313"/>
      <c r="I112" s="313"/>
      <c r="J112" s="313"/>
      <c r="K112" s="313"/>
      <c r="L112" s="313"/>
      <c r="M112" s="313"/>
    </row>
    <row r="113" spans="1:13" ht="16.5" thickTop="1" thickBot="1">
      <c r="A113" s="313"/>
      <c r="B113" s="313"/>
      <c r="C113" s="313"/>
      <c r="D113" s="313"/>
      <c r="E113" s="313"/>
      <c r="F113" s="313"/>
      <c r="G113" s="313" t="s">
        <v>636</v>
      </c>
      <c r="H113" s="313"/>
      <c r="I113" s="313"/>
      <c r="J113" s="313"/>
      <c r="K113" s="313"/>
      <c r="L113" s="313"/>
      <c r="M113" s="313"/>
    </row>
    <row r="114" spans="1:13" ht="15.75" thickTop="1">
      <c r="A114" s="397" t="s">
        <v>613</v>
      </c>
      <c r="B114" s="397" t="s">
        <v>614</v>
      </c>
      <c r="C114" s="397" t="s">
        <v>615</v>
      </c>
      <c r="D114" s="313"/>
      <c r="E114" s="313"/>
      <c r="F114" s="313"/>
      <c r="G114" s="313"/>
      <c r="H114" s="313"/>
      <c r="I114" s="313"/>
      <c r="J114" s="313"/>
      <c r="K114" s="313"/>
      <c r="L114" s="313"/>
      <c r="M114" s="313"/>
    </row>
    <row r="115" spans="1:13">
      <c r="A115" s="355" t="s">
        <v>616</v>
      </c>
      <c r="B115" s="398">
        <v>628.44000000000005</v>
      </c>
      <c r="C115" s="355">
        <v>172</v>
      </c>
      <c r="D115" s="313"/>
      <c r="E115" s="313"/>
      <c r="F115" s="313"/>
      <c r="G115" s="313"/>
      <c r="H115" s="313"/>
      <c r="I115" s="313"/>
      <c r="J115" s="313"/>
      <c r="K115" s="313"/>
      <c r="L115" s="313"/>
      <c r="M115" s="313"/>
    </row>
    <row r="116" spans="1:13">
      <c r="A116" s="355" t="s">
        <v>617</v>
      </c>
      <c r="B116" s="398">
        <v>425.29</v>
      </c>
      <c r="C116" s="355">
        <v>143</v>
      </c>
      <c r="D116" s="313"/>
      <c r="E116" s="313"/>
      <c r="F116" s="313"/>
      <c r="G116" s="313"/>
      <c r="H116" s="313"/>
      <c r="I116" s="313"/>
      <c r="J116" s="313"/>
      <c r="K116" s="313"/>
      <c r="L116" s="313"/>
      <c r="M116" s="313"/>
    </row>
    <row r="117" spans="1:13">
      <c r="A117" s="355" t="s">
        <v>618</v>
      </c>
      <c r="B117" s="398">
        <v>652.51</v>
      </c>
      <c r="C117" s="355">
        <v>180</v>
      </c>
      <c r="D117" s="313"/>
      <c r="E117" s="313"/>
      <c r="F117" s="313"/>
      <c r="G117" s="313"/>
      <c r="H117" s="313"/>
      <c r="I117" s="313"/>
      <c r="J117" s="313"/>
      <c r="K117" s="313"/>
      <c r="L117" s="313"/>
      <c r="M117" s="313"/>
    </row>
    <row r="118" spans="1:13">
      <c r="A118" s="355" t="s">
        <v>599</v>
      </c>
      <c r="B118" s="398">
        <v>296.89</v>
      </c>
      <c r="C118" s="355">
        <v>115</v>
      </c>
      <c r="D118" s="313"/>
      <c r="E118" s="313"/>
      <c r="F118" s="313"/>
      <c r="G118" s="313"/>
      <c r="H118" s="313"/>
      <c r="I118" s="313"/>
      <c r="J118" s="313"/>
      <c r="K118" s="313"/>
      <c r="L118" s="313"/>
      <c r="M118" s="313"/>
    </row>
    <row r="119" spans="1:13">
      <c r="A119" s="355" t="s">
        <v>600</v>
      </c>
      <c r="B119" s="398">
        <v>538.03</v>
      </c>
      <c r="C119" s="355">
        <v>143</v>
      </c>
      <c r="D119" s="313"/>
      <c r="E119" s="313"/>
      <c r="F119" s="313"/>
      <c r="G119" s="313"/>
      <c r="H119" s="313"/>
      <c r="I119" s="313"/>
      <c r="J119" s="313"/>
      <c r="K119" s="313"/>
      <c r="L119" s="313"/>
      <c r="M119" s="313"/>
    </row>
    <row r="120" spans="1:13">
      <c r="A120" s="355" t="s">
        <v>601</v>
      </c>
      <c r="B120" s="398">
        <v>365.41</v>
      </c>
      <c r="C120" s="355">
        <v>115</v>
      </c>
      <c r="D120" s="313"/>
      <c r="E120" s="313"/>
      <c r="F120" s="313"/>
      <c r="G120" s="313"/>
      <c r="H120" s="313"/>
      <c r="I120" s="313"/>
      <c r="J120" s="313"/>
      <c r="K120" s="313"/>
      <c r="L120" s="313"/>
      <c r="M120" s="313"/>
    </row>
    <row r="121" spans="1:13">
      <c r="A121" s="355" t="s">
        <v>619</v>
      </c>
      <c r="B121" s="398">
        <f>399590/1000</f>
        <v>399.59</v>
      </c>
      <c r="C121" s="355">
        <v>132</v>
      </c>
      <c r="D121" s="313"/>
      <c r="E121" s="313"/>
      <c r="F121" s="313"/>
      <c r="G121" s="313"/>
      <c r="H121" s="313"/>
      <c r="I121" s="313"/>
      <c r="J121" s="313"/>
      <c r="K121" s="313"/>
      <c r="L121" s="313"/>
      <c r="M121" s="313"/>
    </row>
    <row r="122" spans="1:13">
      <c r="A122" s="355" t="s">
        <v>620</v>
      </c>
      <c r="B122" s="398">
        <f>470770/1000</f>
        <v>470.77</v>
      </c>
      <c r="C122" s="355">
        <v>126</v>
      </c>
      <c r="D122" s="313"/>
      <c r="E122" s="313"/>
      <c r="F122" s="313"/>
      <c r="G122" s="313"/>
      <c r="H122" s="313"/>
      <c r="I122" s="313"/>
      <c r="J122" s="313"/>
      <c r="K122" s="313"/>
      <c r="L122" s="313"/>
      <c r="M122" s="313"/>
    </row>
    <row r="123" spans="1:13">
      <c r="A123" s="355" t="s">
        <v>621</v>
      </c>
      <c r="B123" s="398">
        <f>298720/1000</f>
        <v>298.72000000000003</v>
      </c>
      <c r="C123" s="355">
        <v>88</v>
      </c>
      <c r="D123" s="313"/>
      <c r="E123" s="313"/>
      <c r="F123" s="313"/>
      <c r="G123" s="313"/>
      <c r="H123" s="313"/>
      <c r="I123" s="313"/>
      <c r="J123" s="313"/>
      <c r="K123" s="313"/>
      <c r="L123" s="313"/>
      <c r="M123" s="313"/>
    </row>
    <row r="124" spans="1:13">
      <c r="A124" s="355" t="s">
        <v>622</v>
      </c>
      <c r="B124" s="398">
        <f>292900/1000</f>
        <v>292.89999999999998</v>
      </c>
      <c r="C124" s="355">
        <v>104</v>
      </c>
      <c r="D124" s="313"/>
      <c r="E124" s="313"/>
      <c r="F124" s="313"/>
      <c r="G124" s="313"/>
      <c r="H124" s="313"/>
      <c r="I124" s="313"/>
      <c r="J124" s="313"/>
      <c r="K124" s="313"/>
      <c r="L124" s="313"/>
      <c r="M124" s="313"/>
    </row>
    <row r="125" spans="1:13">
      <c r="A125" s="355" t="s">
        <v>623</v>
      </c>
      <c r="B125" s="513" t="s">
        <v>637</v>
      </c>
      <c r="C125" s="514"/>
      <c r="D125" s="313"/>
      <c r="E125" s="313"/>
      <c r="F125" s="313"/>
      <c r="G125" s="313"/>
      <c r="H125" s="313"/>
      <c r="I125" s="313"/>
      <c r="J125" s="313"/>
      <c r="K125" s="313"/>
      <c r="L125" s="313"/>
      <c r="M125" s="313"/>
    </row>
    <row r="126" spans="1:13">
      <c r="A126" s="355" t="s">
        <v>624</v>
      </c>
      <c r="B126" s="515"/>
      <c r="C126" s="516"/>
      <c r="D126" s="313"/>
      <c r="E126" s="313"/>
      <c r="F126" s="313"/>
      <c r="G126" s="313"/>
      <c r="H126" s="313"/>
      <c r="I126" s="313"/>
      <c r="J126" s="313"/>
      <c r="K126" s="313"/>
      <c r="L126" s="313"/>
      <c r="M126" s="313"/>
    </row>
    <row r="127" spans="1:13">
      <c r="A127" s="399" t="s">
        <v>392</v>
      </c>
      <c r="B127" s="400">
        <f>SUM(B115:B126)</f>
        <v>4368.5499999999993</v>
      </c>
      <c r="C127" s="399">
        <f>SUM(C115:C126)</f>
        <v>1318</v>
      </c>
      <c r="D127" s="313"/>
      <c r="E127" s="313"/>
      <c r="F127" s="313"/>
      <c r="G127" s="313"/>
      <c r="H127" s="313"/>
      <c r="I127" s="313"/>
      <c r="J127" s="313"/>
      <c r="K127" s="313"/>
      <c r="L127" s="313"/>
      <c r="M127" s="313"/>
    </row>
    <row r="128" spans="1:13">
      <c r="A128" s="313"/>
      <c r="B128" s="313"/>
      <c r="C128" s="313"/>
      <c r="D128" s="313"/>
      <c r="E128" s="313"/>
      <c r="F128" s="313"/>
      <c r="G128" s="313"/>
      <c r="H128" s="313"/>
      <c r="I128" s="313"/>
      <c r="J128" s="313"/>
      <c r="K128" s="313"/>
      <c r="L128" s="313"/>
      <c r="M128" s="313"/>
    </row>
    <row r="129" spans="1:13">
      <c r="A129" s="109" t="s">
        <v>638</v>
      </c>
      <c r="B129" s="313"/>
      <c r="C129" s="313"/>
      <c r="D129" s="313"/>
      <c r="E129" s="313"/>
      <c r="F129" s="313"/>
      <c r="G129" s="313"/>
      <c r="H129" s="313"/>
      <c r="I129" s="313"/>
      <c r="J129" s="313"/>
      <c r="K129" s="313"/>
      <c r="L129" s="313"/>
      <c r="M129" s="313"/>
    </row>
    <row r="132" spans="1:13" ht="20.25" thickBot="1">
      <c r="A132" s="404" t="s">
        <v>639</v>
      </c>
      <c r="B132" s="404"/>
      <c r="C132" s="404"/>
      <c r="D132" s="396"/>
      <c r="E132" s="396"/>
      <c r="F132" s="396"/>
      <c r="G132" s="396"/>
      <c r="H132" s="313"/>
      <c r="I132" s="313"/>
      <c r="J132" s="313"/>
      <c r="K132" s="313"/>
      <c r="L132" s="313"/>
    </row>
    <row r="133" spans="1:13" ht="16.5" thickTop="1" thickBot="1">
      <c r="A133" s="313"/>
      <c r="B133" s="313"/>
      <c r="C133" s="313"/>
      <c r="D133" s="313"/>
      <c r="E133" s="313"/>
      <c r="F133" s="313"/>
      <c r="G133" s="313" t="s">
        <v>640</v>
      </c>
      <c r="H133" s="313"/>
      <c r="I133" s="313"/>
      <c r="J133" s="313"/>
      <c r="K133" s="313"/>
      <c r="L133" s="313"/>
    </row>
    <row r="134" spans="1:13" ht="16.5" thickTop="1" thickBot="1">
      <c r="A134" s="405" t="s">
        <v>613</v>
      </c>
      <c r="B134" s="405" t="s">
        <v>614</v>
      </c>
      <c r="C134" s="405" t="s">
        <v>615</v>
      </c>
      <c r="D134" s="313"/>
      <c r="E134" s="313"/>
      <c r="F134" s="313"/>
      <c r="G134" s="313"/>
      <c r="H134" s="313"/>
      <c r="I134" s="313"/>
      <c r="J134" s="313"/>
      <c r="K134" s="313"/>
      <c r="L134" s="313"/>
    </row>
    <row r="135" spans="1:13" ht="15.75" thickTop="1">
      <c r="A135" s="355" t="s">
        <v>616</v>
      </c>
      <c r="B135" s="398">
        <v>15.52</v>
      </c>
      <c r="C135" s="355">
        <v>17</v>
      </c>
      <c r="D135" s="313"/>
      <c r="E135" s="313"/>
      <c r="F135" s="313"/>
      <c r="G135" s="313"/>
      <c r="H135" s="313"/>
      <c r="I135" s="313"/>
      <c r="J135" s="313"/>
      <c r="K135" s="313"/>
      <c r="L135" s="313"/>
    </row>
    <row r="136" spans="1:13">
      <c r="A136" s="355" t="s">
        <v>617</v>
      </c>
      <c r="B136" s="398">
        <v>9.1</v>
      </c>
      <c r="C136" s="355">
        <v>11</v>
      </c>
      <c r="D136" s="313"/>
      <c r="E136" s="313"/>
      <c r="F136" s="313"/>
      <c r="G136" s="313"/>
      <c r="H136" s="313"/>
      <c r="I136" s="313"/>
      <c r="J136" s="313"/>
      <c r="K136" s="313"/>
      <c r="L136" s="313"/>
    </row>
    <row r="137" spans="1:13">
      <c r="A137" s="355" t="s">
        <v>618</v>
      </c>
      <c r="B137" s="398">
        <v>13.8</v>
      </c>
      <c r="C137" s="355">
        <v>15</v>
      </c>
      <c r="D137" s="313"/>
      <c r="E137" s="313"/>
      <c r="F137" s="313"/>
      <c r="G137" s="313"/>
      <c r="H137" s="313"/>
      <c r="I137" s="313"/>
      <c r="J137" s="313"/>
      <c r="K137" s="313"/>
      <c r="L137" s="313"/>
    </row>
    <row r="138" spans="1:13">
      <c r="A138" s="355" t="s">
        <v>599</v>
      </c>
      <c r="B138" s="398">
        <v>5.6</v>
      </c>
      <c r="C138" s="355">
        <v>6</v>
      </c>
      <c r="D138" s="313"/>
      <c r="E138" s="313"/>
      <c r="F138" s="313"/>
      <c r="G138" s="313"/>
      <c r="H138" s="313"/>
      <c r="I138" s="313"/>
      <c r="J138" s="313"/>
      <c r="K138" s="313"/>
      <c r="L138" s="313"/>
    </row>
    <row r="139" spans="1:13">
      <c r="A139" s="355" t="s">
        <v>600</v>
      </c>
      <c r="B139" s="398">
        <v>9.77</v>
      </c>
      <c r="C139" s="355">
        <v>10</v>
      </c>
      <c r="D139" s="313"/>
      <c r="E139" s="313"/>
      <c r="F139" s="313"/>
      <c r="G139" s="313"/>
      <c r="H139" s="313"/>
      <c r="I139" s="313"/>
      <c r="J139" s="313"/>
      <c r="K139" s="313"/>
      <c r="L139" s="313"/>
    </row>
    <row r="140" spans="1:13">
      <c r="A140" s="355" t="s">
        <v>601</v>
      </c>
      <c r="B140" s="398">
        <v>12.26</v>
      </c>
      <c r="C140" s="355">
        <v>13</v>
      </c>
      <c r="D140" s="313"/>
      <c r="E140" s="313"/>
      <c r="F140" s="313"/>
      <c r="G140" s="313"/>
      <c r="H140" s="313"/>
      <c r="I140" s="313"/>
      <c r="J140" s="313"/>
      <c r="K140" s="313"/>
      <c r="L140" s="313"/>
    </row>
    <row r="141" spans="1:13">
      <c r="A141" s="355" t="s">
        <v>619</v>
      </c>
      <c r="B141" s="413">
        <f>3590/1000</f>
        <v>3.59</v>
      </c>
      <c r="C141" s="415">
        <v>4</v>
      </c>
      <c r="D141" s="313"/>
      <c r="E141" s="313"/>
      <c r="F141" s="313"/>
      <c r="G141" s="313"/>
      <c r="H141" s="313"/>
      <c r="I141" s="313"/>
      <c r="J141" s="313"/>
      <c r="K141" s="313"/>
      <c r="L141" s="313"/>
    </row>
    <row r="142" spans="1:13">
      <c r="A142" s="355" t="s">
        <v>620</v>
      </c>
      <c r="B142" s="491" t="s">
        <v>641</v>
      </c>
      <c r="C142" s="492"/>
      <c r="D142" s="313"/>
      <c r="E142" s="313"/>
      <c r="F142" s="313"/>
      <c r="G142" s="313"/>
      <c r="H142" s="313"/>
      <c r="I142" s="313"/>
      <c r="J142" s="313"/>
      <c r="K142" s="313"/>
      <c r="L142" s="313"/>
    </row>
    <row r="143" spans="1:13">
      <c r="A143" s="355" t="s">
        <v>621</v>
      </c>
      <c r="B143" s="493"/>
      <c r="C143" s="494"/>
      <c r="D143" s="313"/>
      <c r="E143" s="313"/>
      <c r="F143" s="313"/>
      <c r="G143" s="313"/>
      <c r="H143" s="313"/>
      <c r="I143" s="313"/>
      <c r="J143" s="313"/>
      <c r="K143" s="313"/>
      <c r="L143" s="313"/>
    </row>
    <row r="144" spans="1:13">
      <c r="A144" s="355" t="s">
        <v>622</v>
      </c>
      <c r="B144" s="493"/>
      <c r="C144" s="494"/>
      <c r="D144" s="313"/>
      <c r="E144" s="313"/>
      <c r="F144" s="313"/>
      <c r="G144" s="313"/>
      <c r="H144" s="313"/>
      <c r="I144" s="313"/>
      <c r="J144" s="313"/>
      <c r="K144" s="313"/>
      <c r="L144" s="313"/>
    </row>
    <row r="145" spans="1:12">
      <c r="A145" s="355" t="s">
        <v>623</v>
      </c>
      <c r="B145" s="493"/>
      <c r="C145" s="494"/>
      <c r="D145" s="313"/>
      <c r="E145" s="313"/>
      <c r="F145" s="313"/>
      <c r="G145" s="313"/>
      <c r="H145" s="313"/>
      <c r="I145" s="313"/>
      <c r="J145" s="313"/>
      <c r="K145" s="313"/>
      <c r="L145" s="313"/>
    </row>
    <row r="146" spans="1:12">
      <c r="A146" s="355" t="s">
        <v>624</v>
      </c>
      <c r="B146" s="495"/>
      <c r="C146" s="496"/>
      <c r="D146" s="313"/>
      <c r="E146" s="313"/>
      <c r="F146" s="313"/>
      <c r="G146" s="313"/>
      <c r="H146" s="313"/>
      <c r="I146" s="313"/>
      <c r="J146" s="313"/>
      <c r="K146" s="313"/>
      <c r="L146" s="313"/>
    </row>
    <row r="147" spans="1:12">
      <c r="A147" s="399" t="s">
        <v>392</v>
      </c>
      <c r="B147" s="400">
        <f>SUM(B135:B146)</f>
        <v>69.640000000000015</v>
      </c>
      <c r="C147" s="399">
        <f>SUM(C135:C146)</f>
        <v>76</v>
      </c>
      <c r="D147" s="313"/>
      <c r="E147" s="313"/>
      <c r="F147" s="313"/>
      <c r="G147" s="313"/>
      <c r="H147" s="313"/>
      <c r="I147" s="313"/>
      <c r="J147" s="313"/>
      <c r="K147" s="313"/>
      <c r="L147" s="313"/>
    </row>
    <row r="148" spans="1:12">
      <c r="A148" s="313"/>
      <c r="B148" s="313"/>
      <c r="C148" s="313"/>
      <c r="D148" s="313"/>
      <c r="E148" s="313"/>
      <c r="F148" s="313"/>
      <c r="G148" s="313"/>
      <c r="H148" s="313"/>
      <c r="I148" s="313"/>
      <c r="J148" s="313"/>
      <c r="K148" s="313"/>
      <c r="L148" s="313"/>
    </row>
    <row r="149" spans="1:12">
      <c r="A149" s="313"/>
      <c r="B149" s="313"/>
      <c r="C149" s="313"/>
      <c r="D149" s="313"/>
      <c r="E149" s="313"/>
      <c r="F149" s="313"/>
      <c r="G149" s="313"/>
      <c r="H149" s="313"/>
      <c r="I149" s="313"/>
      <c r="J149" s="313"/>
      <c r="K149" s="313"/>
      <c r="L149" s="313"/>
    </row>
    <row r="150" spans="1:12">
      <c r="A150" s="109" t="s">
        <v>642</v>
      </c>
      <c r="B150" s="313"/>
      <c r="C150" s="313"/>
      <c r="D150" s="313"/>
      <c r="E150" s="313"/>
      <c r="F150" s="313"/>
      <c r="G150" s="313"/>
      <c r="H150" s="313"/>
      <c r="I150" s="313"/>
      <c r="J150" s="313"/>
      <c r="K150" s="313"/>
      <c r="L150" s="313"/>
    </row>
    <row r="153" spans="1:12" ht="20.25" thickBot="1">
      <c r="A153" s="404" t="s">
        <v>643</v>
      </c>
      <c r="B153" s="404"/>
      <c r="C153" s="404"/>
      <c r="D153" s="396"/>
      <c r="E153" s="396"/>
      <c r="F153" s="396"/>
      <c r="G153" s="396"/>
      <c r="H153" s="313"/>
      <c r="I153" s="313"/>
      <c r="J153" s="313"/>
      <c r="K153" s="313"/>
      <c r="L153" s="313"/>
    </row>
    <row r="154" spans="1:12" ht="16.5" thickTop="1" thickBot="1">
      <c r="A154" s="313"/>
      <c r="B154" s="313"/>
      <c r="C154" s="313"/>
      <c r="D154" s="313"/>
      <c r="E154" s="313"/>
      <c r="F154" s="313"/>
      <c r="G154" s="313" t="s">
        <v>644</v>
      </c>
      <c r="H154" s="313"/>
      <c r="I154" s="313"/>
      <c r="J154" s="313"/>
      <c r="K154" s="313"/>
      <c r="L154" s="313"/>
    </row>
    <row r="155" spans="1:12" ht="16.5" thickTop="1" thickBot="1">
      <c r="A155" s="405" t="s">
        <v>613</v>
      </c>
      <c r="B155" s="405" t="s">
        <v>614</v>
      </c>
      <c r="C155" s="405" t="s">
        <v>615</v>
      </c>
      <c r="D155" s="313"/>
      <c r="E155" s="313"/>
      <c r="F155" s="313"/>
      <c r="G155" s="313"/>
      <c r="H155" s="313"/>
      <c r="I155" s="313"/>
      <c r="J155" s="313"/>
      <c r="K155" s="313"/>
      <c r="L155" s="313"/>
    </row>
    <row r="156" spans="1:12" ht="15.75" thickTop="1">
      <c r="A156" s="355" t="s">
        <v>616</v>
      </c>
      <c r="B156" s="398">
        <v>14.28</v>
      </c>
      <c r="C156" s="355">
        <v>12</v>
      </c>
      <c r="D156" s="313"/>
      <c r="E156" s="313"/>
      <c r="F156" s="313"/>
      <c r="G156" s="313"/>
      <c r="H156" s="313"/>
      <c r="I156" s="313"/>
      <c r="J156" s="313"/>
      <c r="K156" s="313"/>
      <c r="L156" s="313"/>
    </row>
    <row r="157" spans="1:12">
      <c r="A157" s="355" t="s">
        <v>617</v>
      </c>
      <c r="B157" s="398">
        <v>26.65</v>
      </c>
      <c r="C157" s="355">
        <v>16</v>
      </c>
      <c r="D157" s="313"/>
      <c r="E157" s="313"/>
      <c r="F157" s="313"/>
      <c r="G157" s="313"/>
      <c r="H157" s="313"/>
      <c r="I157" s="313"/>
      <c r="J157" s="313"/>
      <c r="K157" s="313"/>
      <c r="L157" s="313"/>
    </row>
    <row r="158" spans="1:12">
      <c r="A158" s="355" t="s">
        <v>618</v>
      </c>
      <c r="B158" s="398">
        <v>47.03</v>
      </c>
      <c r="C158" s="355">
        <v>26</v>
      </c>
      <c r="D158" s="313"/>
      <c r="E158" s="313"/>
      <c r="F158" s="313"/>
      <c r="G158" s="313"/>
      <c r="H158" s="313"/>
      <c r="I158" s="313"/>
      <c r="J158" s="313"/>
      <c r="K158" s="313"/>
      <c r="L158" s="313"/>
    </row>
    <row r="159" spans="1:12">
      <c r="A159" s="355" t="s">
        <v>599</v>
      </c>
      <c r="B159" s="398">
        <v>61.58</v>
      </c>
      <c r="C159" s="355">
        <v>46</v>
      </c>
      <c r="D159" s="313"/>
      <c r="E159" s="313"/>
      <c r="F159" s="313"/>
      <c r="G159" s="313"/>
      <c r="H159" s="313"/>
      <c r="I159" s="313"/>
      <c r="J159" s="313"/>
      <c r="K159" s="313"/>
      <c r="L159" s="313"/>
    </row>
    <row r="160" spans="1:12">
      <c r="A160" s="355" t="s">
        <v>600</v>
      </c>
      <c r="B160" s="398">
        <v>64.45</v>
      </c>
      <c r="C160" s="355">
        <v>65</v>
      </c>
      <c r="D160" s="313"/>
      <c r="E160" s="313"/>
      <c r="F160" s="313"/>
      <c r="G160" s="313"/>
      <c r="H160" s="313"/>
      <c r="I160" s="313"/>
      <c r="J160" s="313"/>
      <c r="K160" s="313"/>
      <c r="L160" s="313"/>
    </row>
    <row r="161" spans="1:12">
      <c r="A161" s="355" t="s">
        <v>601</v>
      </c>
      <c r="B161" s="398">
        <v>78.16</v>
      </c>
      <c r="C161" s="355">
        <v>52</v>
      </c>
      <c r="D161" s="313"/>
      <c r="E161" s="313"/>
      <c r="F161" s="313"/>
      <c r="G161" s="313"/>
      <c r="H161" s="313"/>
      <c r="I161" s="313"/>
      <c r="J161" s="313"/>
      <c r="K161" s="313"/>
      <c r="L161" s="313"/>
    </row>
    <row r="162" spans="1:12">
      <c r="A162" s="355" t="s">
        <v>619</v>
      </c>
      <c r="B162" s="398"/>
      <c r="C162" s="355"/>
      <c r="D162" s="313"/>
      <c r="E162" s="313"/>
      <c r="F162" s="313"/>
      <c r="G162" s="313"/>
      <c r="H162" s="313"/>
      <c r="I162" s="313"/>
      <c r="J162" s="313"/>
      <c r="K162" s="313"/>
      <c r="L162" s="313"/>
    </row>
    <row r="163" spans="1:12">
      <c r="A163" s="355" t="s">
        <v>620</v>
      </c>
      <c r="B163" s="398"/>
      <c r="C163" s="355"/>
      <c r="D163" s="313"/>
      <c r="E163" s="313"/>
      <c r="F163" s="313"/>
      <c r="G163" s="313"/>
      <c r="H163" s="313"/>
      <c r="I163" s="313"/>
      <c r="J163" s="313"/>
      <c r="K163" s="313"/>
      <c r="L163" s="313"/>
    </row>
    <row r="164" spans="1:12">
      <c r="A164" s="355" t="s">
        <v>621</v>
      </c>
      <c r="B164" s="398"/>
      <c r="C164" s="355"/>
      <c r="D164" s="313"/>
      <c r="E164" s="313"/>
      <c r="F164" s="313"/>
      <c r="G164" s="313"/>
      <c r="H164" s="313"/>
      <c r="I164" s="313"/>
      <c r="J164" s="313"/>
      <c r="K164" s="313"/>
      <c r="L164" s="313"/>
    </row>
    <row r="165" spans="1:12">
      <c r="A165" s="355" t="s">
        <v>622</v>
      </c>
      <c r="B165" s="398"/>
      <c r="C165" s="355"/>
      <c r="D165" s="313"/>
      <c r="E165" s="313"/>
      <c r="F165" s="313"/>
      <c r="G165" s="313"/>
      <c r="H165" s="313"/>
      <c r="I165" s="313"/>
      <c r="J165" s="313"/>
      <c r="K165" s="313"/>
      <c r="L165" s="313"/>
    </row>
    <row r="166" spans="1:12">
      <c r="A166" s="355" t="s">
        <v>623</v>
      </c>
      <c r="B166" s="398"/>
      <c r="C166" s="355"/>
      <c r="D166" s="313"/>
      <c r="E166" s="313"/>
      <c r="F166" s="313"/>
      <c r="G166" s="313"/>
      <c r="H166" s="313"/>
      <c r="I166" s="313"/>
      <c r="J166" s="313"/>
      <c r="K166" s="313"/>
      <c r="L166" s="313"/>
    </row>
    <row r="167" spans="1:12">
      <c r="A167" s="355" t="s">
        <v>624</v>
      </c>
      <c r="B167" s="398"/>
      <c r="C167" s="355"/>
      <c r="D167" s="313"/>
      <c r="E167" s="313"/>
      <c r="F167" s="313"/>
      <c r="G167" s="313"/>
      <c r="H167" s="313"/>
      <c r="I167" s="313"/>
      <c r="J167" s="313"/>
      <c r="K167" s="313"/>
      <c r="L167" s="313"/>
    </row>
    <row r="168" spans="1:12">
      <c r="A168" s="399" t="s">
        <v>645</v>
      </c>
      <c r="B168" s="400">
        <f>SUM(B156:B167)</f>
        <v>292.14999999999998</v>
      </c>
      <c r="C168" s="399">
        <f>SUM(C156:C167)</f>
        <v>217</v>
      </c>
      <c r="D168" s="313"/>
      <c r="E168" s="313"/>
      <c r="F168" s="313"/>
      <c r="G168" s="313"/>
      <c r="H168" s="313"/>
      <c r="I168" s="313"/>
      <c r="J168" s="313"/>
      <c r="K168" s="313"/>
      <c r="L168" s="313"/>
    </row>
    <row r="169" spans="1:12">
      <c r="A169" s="416" t="s">
        <v>619</v>
      </c>
      <c r="B169" s="398">
        <f>65490/1000</f>
        <v>65.489999999999995</v>
      </c>
      <c r="C169" s="355">
        <v>37</v>
      </c>
      <c r="D169" s="313"/>
      <c r="E169" s="313"/>
      <c r="F169" s="313"/>
      <c r="G169" s="313"/>
      <c r="H169" s="313"/>
      <c r="I169" s="313"/>
      <c r="J169" s="313"/>
      <c r="K169" s="313"/>
      <c r="L169" s="313"/>
    </row>
    <row r="170" spans="1:12">
      <c r="A170" s="416" t="s">
        <v>620</v>
      </c>
      <c r="B170" s="398">
        <f>46710/1000</f>
        <v>46.71</v>
      </c>
      <c r="C170" s="355">
        <v>31</v>
      </c>
      <c r="D170" s="313"/>
      <c r="E170" s="313"/>
      <c r="F170" s="313"/>
      <c r="G170" s="313"/>
      <c r="H170" s="313"/>
      <c r="I170" s="313"/>
      <c r="J170" s="313"/>
      <c r="K170" s="313"/>
      <c r="L170" s="313"/>
    </row>
    <row r="171" spans="1:12">
      <c r="A171" s="416" t="s">
        <v>646</v>
      </c>
      <c r="B171" s="398">
        <f>81810/1000</f>
        <v>81.81</v>
      </c>
      <c r="C171" s="355">
        <v>33</v>
      </c>
      <c r="D171" s="313"/>
      <c r="E171" s="313"/>
      <c r="F171" s="313"/>
      <c r="G171" s="313"/>
      <c r="H171" s="313"/>
      <c r="I171" s="313"/>
      <c r="J171" s="313"/>
      <c r="K171" s="313"/>
      <c r="L171" s="313"/>
    </row>
    <row r="172" spans="1:12">
      <c r="A172" s="416" t="s">
        <v>622</v>
      </c>
      <c r="B172" s="398">
        <f>101390/1000</f>
        <v>101.39</v>
      </c>
      <c r="C172" s="355">
        <v>58</v>
      </c>
      <c r="D172" s="313"/>
      <c r="E172" s="313"/>
      <c r="F172" s="313"/>
      <c r="G172" s="313"/>
      <c r="H172" s="313"/>
      <c r="I172" s="313"/>
      <c r="J172" s="313"/>
      <c r="K172" s="313"/>
      <c r="L172" s="313"/>
    </row>
    <row r="173" spans="1:12">
      <c r="A173" s="416" t="s">
        <v>623</v>
      </c>
      <c r="B173" s="355">
        <v>147</v>
      </c>
      <c r="C173" s="355">
        <v>65</v>
      </c>
      <c r="D173" s="313"/>
      <c r="E173" s="313"/>
      <c r="F173" s="313"/>
      <c r="G173" s="313"/>
      <c r="H173" s="313"/>
      <c r="I173" s="313"/>
      <c r="J173" s="313"/>
      <c r="K173" s="313"/>
      <c r="L173" s="313"/>
    </row>
    <row r="174" spans="1:12">
      <c r="A174" s="416" t="s">
        <v>624</v>
      </c>
      <c r="B174" s="355">
        <f>14838/1000</f>
        <v>14.837999999999999</v>
      </c>
      <c r="C174" s="355">
        <v>76</v>
      </c>
      <c r="D174" s="313"/>
      <c r="E174" s="313"/>
      <c r="F174" s="313"/>
      <c r="G174" s="313"/>
      <c r="H174" s="313"/>
      <c r="I174" s="313"/>
      <c r="J174" s="313"/>
      <c r="K174" s="313"/>
      <c r="L174" s="313"/>
    </row>
    <row r="175" spans="1:12">
      <c r="A175" s="313"/>
      <c r="B175" s="313"/>
      <c r="C175" s="313"/>
      <c r="D175" s="313"/>
      <c r="E175" s="313"/>
      <c r="F175" s="313"/>
      <c r="G175" s="313"/>
      <c r="H175" s="313"/>
      <c r="I175" s="313"/>
      <c r="J175" s="313"/>
      <c r="K175" s="313"/>
      <c r="L175" s="313"/>
    </row>
    <row r="176" spans="1:12">
      <c r="A176" s="313"/>
      <c r="B176" s="313"/>
      <c r="C176" s="313"/>
      <c r="D176" s="313"/>
      <c r="E176" s="313"/>
      <c r="F176" s="313"/>
      <c r="G176" s="313"/>
      <c r="H176" s="313"/>
      <c r="I176" s="313"/>
      <c r="J176" s="313"/>
      <c r="K176" s="313"/>
      <c r="L176" s="313"/>
    </row>
    <row r="177" spans="1:12">
      <c r="A177" s="109" t="s">
        <v>647</v>
      </c>
      <c r="B177" s="313"/>
      <c r="C177" s="313"/>
      <c r="D177" s="313"/>
      <c r="E177" s="313"/>
      <c r="F177" s="313"/>
      <c r="G177" s="313"/>
      <c r="H177" s="313"/>
      <c r="I177" s="313"/>
      <c r="J177" s="313"/>
      <c r="K177" s="313"/>
      <c r="L177" s="313"/>
    </row>
  </sheetData>
  <mergeCells count="16">
    <mergeCell ref="B142:C146"/>
    <mergeCell ref="B9:C9"/>
    <mergeCell ref="J9:J11"/>
    <mergeCell ref="A10:A11"/>
    <mergeCell ref="B10:B11"/>
    <mergeCell ref="C10:C11"/>
    <mergeCell ref="D10:D11"/>
    <mergeCell ref="E10:E11"/>
    <mergeCell ref="F10:F11"/>
    <mergeCell ref="H10:H11"/>
    <mergeCell ref="I10:I11"/>
    <mergeCell ref="E21:E23"/>
    <mergeCell ref="H22:H23"/>
    <mergeCell ref="A27:B27"/>
    <mergeCell ref="A70:H70"/>
    <mergeCell ref="B125:C126"/>
  </mergeCells>
  <pageMargins left="0.7" right="0.7" top="0.75" bottom="0.75" header="0.3" footer="0.3"/>
  <drawing r:id="rId1"/>
  <legacyDrawing r:id="rId2"/>
</worksheet>
</file>

<file path=xl/worksheets/sheet28.xml><?xml version="1.0" encoding="utf-8"?>
<worksheet xmlns="http://schemas.openxmlformats.org/spreadsheetml/2006/main" xmlns:r="http://schemas.openxmlformats.org/officeDocument/2006/relationships">
  <sheetPr>
    <tabColor theme="9" tint="-0.249977111117893"/>
  </sheetPr>
  <dimension ref="A1:N6"/>
  <sheetViews>
    <sheetView topLeftCell="D1" workbookViewId="0">
      <pane ySplit="1" topLeftCell="A2" activePane="bottomLeft" state="frozen"/>
      <selection pane="bottomLeft" activeCell="A2" sqref="A2:M3"/>
    </sheetView>
  </sheetViews>
  <sheetFormatPr baseColWidth="10" defaultRowHeight="15"/>
  <cols>
    <col min="1" max="1" width="13.5703125" customWidth="1"/>
    <col min="2" max="2" width="22.5703125" customWidth="1"/>
    <col min="3" max="3" width="18.5703125" customWidth="1"/>
    <col min="4" max="4" width="15.42578125" customWidth="1"/>
    <col min="5" max="5" width="16.5703125" customWidth="1"/>
    <col min="7" max="7" width="14.85546875" customWidth="1"/>
    <col min="8" max="9" width="15" customWidth="1"/>
    <col min="10" max="10" width="14.140625" customWidth="1"/>
    <col min="13" max="13" width="15.85546875" customWidth="1"/>
    <col min="14" max="14" width="19.140625" customWidth="1"/>
  </cols>
  <sheetData>
    <row r="1" spans="1:14" ht="63">
      <c r="A1" s="16" t="s">
        <v>77</v>
      </c>
      <c r="B1" s="16" t="s">
        <v>0</v>
      </c>
      <c r="C1" s="16" t="s">
        <v>1</v>
      </c>
      <c r="D1" s="16" t="s">
        <v>78</v>
      </c>
      <c r="E1" s="16" t="s">
        <v>4</v>
      </c>
      <c r="F1" s="16" t="s">
        <v>5</v>
      </c>
      <c r="G1" s="17" t="s">
        <v>79</v>
      </c>
      <c r="H1" s="17" t="s">
        <v>80</v>
      </c>
      <c r="I1" s="17" t="s">
        <v>81</v>
      </c>
      <c r="J1" s="16" t="s">
        <v>82</v>
      </c>
      <c r="K1" s="18" t="s">
        <v>27</v>
      </c>
      <c r="L1" s="18" t="s">
        <v>28</v>
      </c>
      <c r="M1" s="18" t="s">
        <v>83</v>
      </c>
      <c r="N1" s="16" t="s">
        <v>7</v>
      </c>
    </row>
    <row r="2" spans="1:14" ht="24">
      <c r="A2" s="32" t="s">
        <v>111</v>
      </c>
      <c r="B2" s="33" t="s">
        <v>112</v>
      </c>
      <c r="C2" s="33" t="s">
        <v>113</v>
      </c>
      <c r="D2" s="33" t="s">
        <v>114</v>
      </c>
      <c r="E2" s="33" t="s">
        <v>115</v>
      </c>
      <c r="F2" s="33" t="s">
        <v>116</v>
      </c>
      <c r="G2" s="34">
        <v>97386</v>
      </c>
      <c r="H2" s="34">
        <v>50289.63</v>
      </c>
      <c r="I2" s="34">
        <v>130223</v>
      </c>
      <c r="J2" s="35"/>
      <c r="K2" s="36">
        <v>6274505</v>
      </c>
      <c r="L2" s="36">
        <v>341317</v>
      </c>
      <c r="M2" s="37" t="s">
        <v>117</v>
      </c>
      <c r="N2" s="1"/>
    </row>
    <row r="3" spans="1:14">
      <c r="A3" s="33" t="s">
        <v>111</v>
      </c>
      <c r="B3" s="33" t="s">
        <v>118</v>
      </c>
      <c r="C3" s="33" t="s">
        <v>93</v>
      </c>
      <c r="D3" s="33" t="s">
        <v>119</v>
      </c>
      <c r="E3" s="33" t="s">
        <v>120</v>
      </c>
      <c r="F3" s="33" t="s">
        <v>100</v>
      </c>
      <c r="G3" s="34">
        <v>97386</v>
      </c>
      <c r="H3" s="34">
        <v>50289.63</v>
      </c>
      <c r="I3" s="34">
        <v>419066</v>
      </c>
      <c r="J3" s="251">
        <f>+H2*1000/G2/365</f>
        <v>1.414780442971044</v>
      </c>
      <c r="K3" s="36">
        <v>6268702</v>
      </c>
      <c r="L3" s="36">
        <v>332967</v>
      </c>
      <c r="M3" s="37" t="s">
        <v>117</v>
      </c>
      <c r="N3" s="1"/>
    </row>
    <row r="4" spans="1:14">
      <c r="A4" s="38"/>
      <c r="B4" s="38"/>
      <c r="C4" s="38"/>
      <c r="D4" s="38"/>
      <c r="E4" s="38"/>
      <c r="F4" s="38"/>
      <c r="G4" s="39"/>
      <c r="H4" s="39"/>
      <c r="I4" s="237">
        <f>SUM(I2:I3)</f>
        <v>549289</v>
      </c>
      <c r="J4" s="40"/>
      <c r="K4" s="41"/>
      <c r="L4" s="41"/>
      <c r="M4" s="42"/>
      <c r="N4" s="1"/>
    </row>
    <row r="5" spans="1:14">
      <c r="A5" s="38"/>
      <c r="B5" s="38"/>
      <c r="C5" s="38"/>
      <c r="D5" s="38"/>
      <c r="E5" s="43"/>
      <c r="F5" s="38"/>
      <c r="G5" s="39"/>
      <c r="H5" s="39"/>
      <c r="I5" s="39"/>
      <c r="J5" s="40"/>
      <c r="K5" s="44"/>
      <c r="L5" s="44"/>
      <c r="M5" s="11"/>
      <c r="N5" s="1"/>
    </row>
    <row r="6" spans="1:14">
      <c r="A6" s="5"/>
      <c r="B6" s="5"/>
      <c r="C6" s="5"/>
      <c r="D6" s="5"/>
      <c r="E6" s="6"/>
      <c r="F6" s="7"/>
      <c r="G6" s="7"/>
      <c r="H6" s="5"/>
      <c r="I6" s="5"/>
      <c r="J6" s="9"/>
      <c r="N6" s="8"/>
    </row>
  </sheetData>
  <pageMargins left="0.7" right="0.7" top="0.75" bottom="0.75" header="0.3" footer="0.3"/>
  <pageSetup paperSize="9" orientation="portrait" horizontalDpi="0" verticalDpi="0" r:id="rId1"/>
  <legacyDrawing r:id="rId2"/>
</worksheet>
</file>

<file path=xl/worksheets/sheet29.xml><?xml version="1.0" encoding="utf-8"?>
<worksheet xmlns="http://schemas.openxmlformats.org/spreadsheetml/2006/main" xmlns:r="http://schemas.openxmlformats.org/officeDocument/2006/relationships">
  <sheetPr>
    <tabColor theme="9" tint="-0.249977111117893"/>
  </sheetPr>
  <dimension ref="A3:N8"/>
  <sheetViews>
    <sheetView zoomScale="90" zoomScaleNormal="90" workbookViewId="0">
      <pane ySplit="3" topLeftCell="A4" activePane="bottomLeft" state="frozen"/>
      <selection pane="bottomLeft" activeCell="A4" sqref="A4:N4"/>
    </sheetView>
  </sheetViews>
  <sheetFormatPr baseColWidth="10" defaultRowHeight="15"/>
  <cols>
    <col min="1" max="1" width="13.5703125" customWidth="1"/>
    <col min="2" max="2" width="13.42578125" bestFit="1" customWidth="1"/>
    <col min="3" max="3" width="15.28515625" customWidth="1"/>
    <col min="4" max="4" width="15.42578125" customWidth="1"/>
    <col min="5" max="5" width="16.5703125" customWidth="1"/>
    <col min="7" max="7" width="14.85546875" customWidth="1"/>
    <col min="8" max="9" width="15" customWidth="1"/>
    <col min="10" max="10" width="14.140625" customWidth="1"/>
    <col min="13" max="13" width="15.85546875" customWidth="1"/>
    <col min="14" max="14" width="19.140625" customWidth="1"/>
  </cols>
  <sheetData>
    <row r="3" spans="1:14" ht="63">
      <c r="A3" s="16" t="s">
        <v>77</v>
      </c>
      <c r="B3" s="16" t="s">
        <v>0</v>
      </c>
      <c r="C3" s="16" t="s">
        <v>1</v>
      </c>
      <c r="D3" s="16" t="s">
        <v>78</v>
      </c>
      <c r="E3" s="16" t="s">
        <v>4</v>
      </c>
      <c r="F3" s="16" t="s">
        <v>5</v>
      </c>
      <c r="G3" s="17" t="s">
        <v>79</v>
      </c>
      <c r="H3" s="17" t="s">
        <v>80</v>
      </c>
      <c r="I3" s="17" t="s">
        <v>81</v>
      </c>
      <c r="J3" s="16" t="s">
        <v>82</v>
      </c>
      <c r="K3" s="18" t="s">
        <v>27</v>
      </c>
      <c r="L3" s="18" t="s">
        <v>28</v>
      </c>
      <c r="M3" s="18" t="s">
        <v>83</v>
      </c>
      <c r="N3" s="16" t="s">
        <v>7</v>
      </c>
    </row>
    <row r="4" spans="1:14" ht="45">
      <c r="A4" s="1" t="s">
        <v>98</v>
      </c>
      <c r="B4" s="1" t="s">
        <v>99</v>
      </c>
      <c r="C4" s="1" t="s">
        <v>10</v>
      </c>
      <c r="D4" s="1" t="s">
        <v>11</v>
      </c>
      <c r="E4" s="1">
        <v>9813</v>
      </c>
      <c r="F4" s="1" t="s">
        <v>100</v>
      </c>
      <c r="G4" s="198">
        <v>25000</v>
      </c>
      <c r="H4" s="2">
        <v>11642</v>
      </c>
      <c r="I4" s="2">
        <v>327638</v>
      </c>
      <c r="J4" s="248">
        <f>+H4*1000/G4/365</f>
        <v>1.2758356164383562</v>
      </c>
      <c r="K4" s="29" t="s">
        <v>101</v>
      </c>
      <c r="L4" s="29" t="s">
        <v>102</v>
      </c>
      <c r="M4" s="29" t="s">
        <v>103</v>
      </c>
      <c r="N4" s="1" t="s">
        <v>104</v>
      </c>
    </row>
    <row r="5" spans="1:14">
      <c r="A5" s="1"/>
      <c r="B5" s="1"/>
      <c r="C5" s="1"/>
      <c r="D5" s="1"/>
      <c r="E5" s="1"/>
      <c r="F5" s="1"/>
      <c r="G5" s="2"/>
      <c r="H5" s="2"/>
      <c r="I5" s="2"/>
      <c r="J5" s="3"/>
      <c r="K5" s="11"/>
      <c r="L5" s="11"/>
      <c r="M5" s="11"/>
      <c r="N5" s="1"/>
    </row>
    <row r="6" spans="1:14">
      <c r="A6" s="1"/>
      <c r="B6" s="1"/>
      <c r="C6" s="1"/>
      <c r="D6" s="1"/>
      <c r="E6" s="1"/>
      <c r="F6" s="1"/>
      <c r="G6" s="2"/>
      <c r="H6" s="2"/>
      <c r="I6" s="2"/>
      <c r="J6" s="3"/>
      <c r="K6" s="11"/>
      <c r="L6" s="11"/>
      <c r="M6" s="11"/>
      <c r="N6" s="1"/>
    </row>
    <row r="7" spans="1:14">
      <c r="A7" s="1"/>
      <c r="B7" s="1"/>
      <c r="C7" s="1"/>
      <c r="D7" s="1"/>
      <c r="E7" s="4"/>
      <c r="F7" s="1"/>
      <c r="G7" s="2"/>
      <c r="H7" s="2"/>
      <c r="I7" s="2"/>
      <c r="J7" s="3"/>
      <c r="K7" s="11"/>
      <c r="L7" s="11"/>
      <c r="M7" s="11"/>
      <c r="N7" s="1"/>
    </row>
    <row r="8" spans="1:14">
      <c r="A8" s="5"/>
      <c r="B8" s="5"/>
      <c r="C8" s="5"/>
      <c r="D8" s="5"/>
      <c r="E8" s="6"/>
      <c r="F8" s="7"/>
      <c r="G8" s="7"/>
      <c r="H8" s="5"/>
      <c r="I8" s="5"/>
      <c r="J8" s="9"/>
      <c r="N8" s="8"/>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M12"/>
  <sheetViews>
    <sheetView zoomScaleNormal="100" workbookViewId="0">
      <pane ySplit="1" topLeftCell="A2" activePane="bottomLeft" state="frozen"/>
      <selection pane="bottomLeft" activeCell="F3" sqref="F3"/>
    </sheetView>
  </sheetViews>
  <sheetFormatPr baseColWidth="10" defaultRowHeight="14.25"/>
  <cols>
    <col min="1" max="1" width="12.140625" style="252" bestFit="1" customWidth="1"/>
    <col min="2" max="2" width="11.85546875" style="252" bestFit="1" customWidth="1"/>
    <col min="3" max="3" width="11.42578125" style="252"/>
    <col min="4" max="4" width="30" style="252" customWidth="1"/>
    <col min="5" max="5" width="13.5703125" style="252" bestFit="1" customWidth="1"/>
    <col min="6" max="6" width="12.42578125" style="252" bestFit="1" customWidth="1"/>
    <col min="7" max="7" width="11" style="252" bestFit="1" customWidth="1"/>
    <col min="8" max="8" width="11.140625" style="252" bestFit="1" customWidth="1"/>
    <col min="9" max="9" width="19.140625" style="252" customWidth="1"/>
    <col min="10" max="10" width="9" style="252" bestFit="1" customWidth="1"/>
    <col min="11" max="11" width="14.28515625" style="252" bestFit="1" customWidth="1"/>
    <col min="12" max="12" width="13.140625" style="252" bestFit="1" customWidth="1"/>
    <col min="13" max="13" width="18.42578125" style="252" customWidth="1"/>
    <col min="14" max="16384" width="11.42578125" style="252"/>
  </cols>
  <sheetData>
    <row r="1" spans="1:13" ht="60">
      <c r="A1" s="256" t="s">
        <v>0</v>
      </c>
      <c r="B1" s="256" t="s">
        <v>1</v>
      </c>
      <c r="C1" s="256" t="s">
        <v>2</v>
      </c>
      <c r="D1" s="256" t="s">
        <v>3</v>
      </c>
      <c r="E1" s="256" t="s">
        <v>4</v>
      </c>
      <c r="F1" s="256" t="s">
        <v>5</v>
      </c>
      <c r="G1" s="257" t="s">
        <v>79</v>
      </c>
      <c r="H1" s="257" t="s">
        <v>6</v>
      </c>
      <c r="I1" s="256" t="s">
        <v>7</v>
      </c>
      <c r="J1" s="256" t="s">
        <v>8</v>
      </c>
      <c r="K1" s="258" t="s">
        <v>27</v>
      </c>
      <c r="L1" s="258" t="s">
        <v>28</v>
      </c>
      <c r="M1" s="256" t="s">
        <v>29</v>
      </c>
    </row>
    <row r="2" spans="1:13" ht="128.25">
      <c r="A2" s="259" t="s">
        <v>9</v>
      </c>
      <c r="B2" s="260" t="s">
        <v>10</v>
      </c>
      <c r="C2" s="260" t="s">
        <v>11</v>
      </c>
      <c r="D2" s="260" t="s">
        <v>649</v>
      </c>
      <c r="E2" s="260" t="s">
        <v>487</v>
      </c>
      <c r="F2" s="260" t="s">
        <v>100</v>
      </c>
      <c r="G2" s="296">
        <f>+'San Joaquin'!H3+'C.de Tango'!G4+'Lo Espejo'!G2+Pirque!G2+Macul!G2+Paine!F2+SJdM!G2+'La Granja'!C12+PAC!G2+'La Pintana'!G2+'La Florida'!C10+'Pte Alto'!G5+Talagante!F5+Buin!G4+'San Bernardo'!F5+'San Ramon'!G2+'El Bosque'!G3+'Estacion Central'!G3+Conchali!G2</f>
        <v>3098767</v>
      </c>
      <c r="H2" s="297">
        <f>+'San Joaquin'!I3+'C.de Tango'!H4+'Lo Espejo'!H3+Pirque!H2+Macul!H3+Paine!G2+'La Granja'!C13+PAC!H2+'La Pintana'!H2+'La Florida'!C11+'Pte Alto'!H5+SJdM!H2+Talagante!G5+Buin!H4+'San Bernardo'!G5+'San Ramon'!H2+'El Bosque'!H3+'Estacion Central'!H3+Conchali!H2</f>
        <v>1192291.7200000002</v>
      </c>
      <c r="I2" s="260" t="s">
        <v>495</v>
      </c>
      <c r="J2" s="261">
        <f>H2*1000/G2/365</f>
        <v>1.054145941767886</v>
      </c>
      <c r="K2" s="29" t="s">
        <v>101</v>
      </c>
      <c r="L2" s="29" t="s">
        <v>102</v>
      </c>
      <c r="M2" s="29" t="s">
        <v>103</v>
      </c>
    </row>
    <row r="3" spans="1:13" ht="71.25">
      <c r="A3" s="262" t="s">
        <v>12</v>
      </c>
      <c r="B3" s="260" t="s">
        <v>10</v>
      </c>
      <c r="C3" s="260" t="s">
        <v>13</v>
      </c>
      <c r="D3" s="260" t="s">
        <v>578</v>
      </c>
      <c r="E3" s="260" t="s">
        <v>488</v>
      </c>
      <c r="F3" s="260" t="s">
        <v>295</v>
      </c>
      <c r="G3" s="297">
        <f>+Cerrillos!H2+'El Monte'!G2+Peñalolen!G2+P.Hurtado!G2+Peñaflor!G2+'Isla de Maipo'!G2</f>
        <v>540461.90884155268</v>
      </c>
      <c r="H3" s="297">
        <f>+Cerrillos!I2+'El Monte'!H2+Peñalolen!H2+P.Hurtado!H2+Peñaflor!H2+'Isla de Maipo'!H2</f>
        <v>209352.11520000003</v>
      </c>
      <c r="I3" s="260" t="s">
        <v>496</v>
      </c>
      <c r="J3" s="261">
        <f>H3*1000/G3/365</f>
        <v>1.0612541411725327</v>
      </c>
      <c r="K3" s="253" t="s">
        <v>489</v>
      </c>
      <c r="L3" s="253" t="s">
        <v>490</v>
      </c>
      <c r="M3" s="29" t="s">
        <v>300</v>
      </c>
    </row>
    <row r="4" spans="1:13" ht="42.75">
      <c r="A4" s="295" t="s">
        <v>14</v>
      </c>
      <c r="B4" s="260" t="s">
        <v>15</v>
      </c>
      <c r="C4" s="260" t="s">
        <v>16</v>
      </c>
      <c r="D4" s="260" t="s">
        <v>579</v>
      </c>
      <c r="E4" s="260" t="s">
        <v>17</v>
      </c>
      <c r="F4" s="260" t="s">
        <v>18</v>
      </c>
      <c r="G4" s="297">
        <f>+'San Pedro'!G2+Alhue!G2+Melipilla!G2+'Maria Pinto'!G2</f>
        <v>140639</v>
      </c>
      <c r="H4" s="297">
        <f>+'San Pedro'!H2+Alhue!H2+Melipilla!H2+'Maria Pinto'!H2</f>
        <v>58304</v>
      </c>
      <c r="I4" s="260" t="s">
        <v>497</v>
      </c>
      <c r="J4" s="261">
        <f>H4*1000/G4/365</f>
        <v>1.1357943835022282</v>
      </c>
      <c r="K4" s="29" t="s">
        <v>491</v>
      </c>
      <c r="L4" s="29" t="s">
        <v>492</v>
      </c>
      <c r="M4" s="29" t="s">
        <v>103</v>
      </c>
    </row>
    <row r="5" spans="1:13" ht="142.5">
      <c r="A5" s="263" t="s">
        <v>19</v>
      </c>
      <c r="B5" s="260" t="s">
        <v>10</v>
      </c>
      <c r="C5" s="260" t="s">
        <v>20</v>
      </c>
      <c r="D5" s="260" t="s">
        <v>648</v>
      </c>
      <c r="E5" s="264" t="s">
        <v>486</v>
      </c>
      <c r="F5" s="265" t="s">
        <v>252</v>
      </c>
      <c r="G5" s="297">
        <f>+Recoleta!G2+'San Miguel'!G2+Independ!G6+Ñuñoa!G2+'Lo Barnech'!G2+Vitacura!H2+Stgo!G2+Pudahuel!G2+Providencia!G2+Quilicura!G2+'Las Condes'!G2+'La Reina'!G2+Q.Normal!G2+Colina!G2+Curacavi!G2+'La Cisterna'!D14+Lampa!G2+'Til til'!G2+'Cerro Navia'!G2+Huechuraba!G2+Renca!G3+'Lo Prado'!G2+Maipu!G2</f>
        <v>3473125</v>
      </c>
      <c r="H5" s="297">
        <f>+Recoleta!H2+'San Miguel'!H2+Independ!H6+Ñuñoa!H2+'Lo Barnech'!H2+Vitacura!I2+Pudahuel!H2+Stgo!H2+Providencia!H2+Quilicura!H2+'Las Condes'!H2+'La Reina'!H2+Q.Normal!H2+Colina!H4+Curacavi!H2+'La Cisterna'!C15+Lampa!H2+'Til til'!H2+'Cerro Navia'!H2+Huechuraba!H2+Renca!H3+'Lo Prado'!H2+Maipu!H2</f>
        <v>1583585.88</v>
      </c>
      <c r="I5" s="260" t="s">
        <v>498</v>
      </c>
      <c r="J5" s="261">
        <f>H5*1000/G5/365</f>
        <v>1.2491895489090645</v>
      </c>
      <c r="K5" s="254" t="s">
        <v>493</v>
      </c>
      <c r="L5" s="254" t="s">
        <v>494</v>
      </c>
      <c r="M5" s="254" t="s">
        <v>173</v>
      </c>
    </row>
    <row r="6" spans="1:13">
      <c r="A6" s="266"/>
      <c r="B6" s="266"/>
      <c r="C6" s="266"/>
      <c r="D6" s="267"/>
      <c r="E6" s="268"/>
      <c r="F6" s="269"/>
      <c r="G6" s="269"/>
      <c r="H6" s="266"/>
      <c r="I6" s="270"/>
      <c r="J6" s="255"/>
    </row>
    <row r="7" spans="1:13" ht="105">
      <c r="A7" s="461" t="s">
        <v>21</v>
      </c>
      <c r="B7" s="271"/>
      <c r="C7" s="271"/>
      <c r="D7" s="271"/>
      <c r="E7" s="272"/>
      <c r="F7" s="257" t="s">
        <v>499</v>
      </c>
      <c r="G7" s="257" t="s">
        <v>79</v>
      </c>
      <c r="H7" s="257" t="s">
        <v>6</v>
      </c>
      <c r="I7" s="273"/>
      <c r="J7" s="256" t="s">
        <v>8</v>
      </c>
    </row>
    <row r="8" spans="1:13" ht="28.5">
      <c r="A8" s="462"/>
      <c r="B8" s="274" t="s">
        <v>22</v>
      </c>
      <c r="C8" s="275">
        <v>3</v>
      </c>
      <c r="D8" s="275"/>
      <c r="E8" s="275"/>
      <c r="F8" s="276">
        <f>H8/H12</f>
        <v>0.98084332047684619</v>
      </c>
      <c r="G8" s="277">
        <f>+G5+G3+G2</f>
        <v>7112353.9088415522</v>
      </c>
      <c r="H8" s="277">
        <f>H2+H5+H3</f>
        <v>2985229.7152</v>
      </c>
      <c r="I8" s="276"/>
      <c r="J8" s="278"/>
    </row>
    <row r="9" spans="1:13" ht="28.5">
      <c r="A9" s="462"/>
      <c r="B9" s="274" t="s">
        <v>23</v>
      </c>
      <c r="C9" s="275">
        <v>0</v>
      </c>
      <c r="D9" s="275"/>
      <c r="E9" s="275"/>
      <c r="F9" s="276">
        <v>0</v>
      </c>
      <c r="G9" s="277">
        <v>0</v>
      </c>
      <c r="H9" s="277">
        <v>0</v>
      </c>
      <c r="I9" s="276"/>
      <c r="J9" s="278"/>
    </row>
    <row r="10" spans="1:13">
      <c r="A10" s="462"/>
      <c r="B10" s="274" t="s">
        <v>24</v>
      </c>
      <c r="C10" s="275">
        <v>1</v>
      </c>
      <c r="D10" s="275"/>
      <c r="E10" s="275"/>
      <c r="F10" s="276">
        <f>H10/H12</f>
        <v>1.9156679523153784E-2</v>
      </c>
      <c r="G10" s="277">
        <f>+G4</f>
        <v>140639</v>
      </c>
      <c r="H10" s="277">
        <f>+H4</f>
        <v>58304</v>
      </c>
      <c r="I10" s="276"/>
      <c r="J10" s="278"/>
    </row>
    <row r="11" spans="1:13">
      <c r="A11" s="463"/>
      <c r="B11" s="274" t="s">
        <v>25</v>
      </c>
      <c r="C11" s="275">
        <v>0</v>
      </c>
      <c r="D11" s="275"/>
      <c r="E11" s="275"/>
      <c r="F11" s="276">
        <f>H11/H12</f>
        <v>0</v>
      </c>
      <c r="G11" s="277">
        <v>0</v>
      </c>
      <c r="H11" s="277"/>
      <c r="I11" s="276"/>
      <c r="J11" s="278"/>
    </row>
    <row r="12" spans="1:13" ht="15">
      <c r="A12" s="279" t="s">
        <v>26</v>
      </c>
      <c r="B12" s="280"/>
      <c r="C12" s="280">
        <f>SUM(C8:C11)</f>
        <v>4</v>
      </c>
      <c r="D12" s="280"/>
      <c r="E12" s="280"/>
      <c r="F12" s="281">
        <f>SUM(F8:F11)</f>
        <v>1</v>
      </c>
      <c r="G12" s="282">
        <f>SUM(G8:G11)</f>
        <v>7252992.9088415522</v>
      </c>
      <c r="H12" s="283">
        <f>SUM(H8:H11)</f>
        <v>3043533.7152</v>
      </c>
      <c r="I12" s="280"/>
      <c r="J12" s="284">
        <f>H12*1000/G12/365</f>
        <v>1.1496562370314432</v>
      </c>
    </row>
  </sheetData>
  <mergeCells count="1">
    <mergeCell ref="A7:A11"/>
  </mergeCells>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sheetPr>
    <tabColor theme="9" tint="-0.249977111117893"/>
  </sheetPr>
  <dimension ref="B2:O86"/>
  <sheetViews>
    <sheetView workbookViewId="0">
      <selection activeCell="B3" sqref="B3:D3"/>
    </sheetView>
  </sheetViews>
  <sheetFormatPr baseColWidth="10" defaultRowHeight="15"/>
  <cols>
    <col min="2" max="2" width="23.7109375" bestFit="1" customWidth="1"/>
    <col min="3" max="3" width="55" bestFit="1" customWidth="1"/>
    <col min="5" max="5" width="41.140625" bestFit="1" customWidth="1"/>
    <col min="6" max="6" width="12.7109375" bestFit="1" customWidth="1"/>
    <col min="10" max="10" width="16.85546875" bestFit="1" customWidth="1"/>
  </cols>
  <sheetData>
    <row r="2" spans="2:15" s="23" customFormat="1" ht="48">
      <c r="B2" s="20" t="s">
        <v>77</v>
      </c>
      <c r="C2" s="20" t="s">
        <v>0</v>
      </c>
      <c r="D2" s="20" t="s">
        <v>1</v>
      </c>
      <c r="E2" s="20" t="s">
        <v>78</v>
      </c>
      <c r="F2" s="20" t="s">
        <v>4</v>
      </c>
      <c r="G2" s="20" t="s">
        <v>5</v>
      </c>
      <c r="H2" s="21" t="s">
        <v>79</v>
      </c>
      <c r="I2" s="21" t="s">
        <v>80</v>
      </c>
      <c r="J2" s="21" t="s">
        <v>81</v>
      </c>
      <c r="K2" s="20" t="s">
        <v>82</v>
      </c>
      <c r="L2" s="22" t="s">
        <v>27</v>
      </c>
      <c r="M2" s="22" t="s">
        <v>28</v>
      </c>
      <c r="N2" s="22" t="s">
        <v>83</v>
      </c>
      <c r="O2" s="20" t="s">
        <v>7</v>
      </c>
    </row>
    <row r="3" spans="2:15" s="28" customFormat="1" ht="30.75" thickBot="1">
      <c r="B3" s="24" t="s">
        <v>395</v>
      </c>
      <c r="C3" s="24" t="s">
        <v>32</v>
      </c>
      <c r="D3" s="24" t="s">
        <v>93</v>
      </c>
      <c r="E3" s="13" t="s">
        <v>35</v>
      </c>
      <c r="F3" s="24" t="s">
        <v>95</v>
      </c>
      <c r="G3" s="24" t="s">
        <v>95</v>
      </c>
      <c r="H3" s="195">
        <v>100000</v>
      </c>
      <c r="I3" s="195">
        <v>53046.14</v>
      </c>
      <c r="J3" s="226">
        <v>1810795</v>
      </c>
      <c r="K3" s="26">
        <v>1.45</v>
      </c>
      <c r="L3" s="196"/>
      <c r="M3" s="27"/>
      <c r="N3" s="27"/>
      <c r="O3" s="24"/>
    </row>
    <row r="4" spans="2:15" ht="15.75" thickBot="1"/>
    <row r="5" spans="2:15" ht="15.75" thickBot="1">
      <c r="B5" s="519" t="s">
        <v>30</v>
      </c>
      <c r="C5" s="519"/>
      <c r="E5" s="517" t="s">
        <v>394</v>
      </c>
      <c r="F5" s="518"/>
    </row>
    <row r="6" spans="2:15" ht="15.75" thickBot="1">
      <c r="B6" s="11" t="s">
        <v>31</v>
      </c>
      <c r="C6" s="11" t="s">
        <v>32</v>
      </c>
      <c r="E6" s="188"/>
      <c r="F6" s="189" t="s">
        <v>387</v>
      </c>
      <c r="K6">
        <f>+I3*1000/H3/365</f>
        <v>1.4533189041095891</v>
      </c>
    </row>
    <row r="7" spans="2:15" ht="15.75" thickBot="1">
      <c r="B7" s="11" t="s">
        <v>2</v>
      </c>
      <c r="C7" s="11" t="s">
        <v>33</v>
      </c>
      <c r="E7" s="188" t="s">
        <v>388</v>
      </c>
      <c r="F7" s="190" t="s">
        <v>389</v>
      </c>
    </row>
    <row r="8" spans="2:15" ht="15" customHeight="1" thickBot="1">
      <c r="B8" s="12" t="s">
        <v>34</v>
      </c>
      <c r="C8" s="13" t="s">
        <v>35</v>
      </c>
      <c r="E8" s="188" t="s">
        <v>390</v>
      </c>
      <c r="F8" s="190" t="s">
        <v>391</v>
      </c>
    </row>
    <row r="9" spans="2:15" ht="15.75" thickBot="1">
      <c r="B9" s="11" t="s">
        <v>36</v>
      </c>
      <c r="C9" s="14" t="s">
        <v>37</v>
      </c>
      <c r="E9" s="188" t="s">
        <v>392</v>
      </c>
      <c r="F9" s="190" t="s">
        <v>393</v>
      </c>
    </row>
    <row r="10" spans="2:15" ht="15.75" thickBot="1">
      <c r="B10" s="11" t="s">
        <v>38</v>
      </c>
      <c r="C10" s="108"/>
    </row>
    <row r="11" spans="2:15" ht="48.75" thickBot="1">
      <c r="B11" s="11" t="s">
        <v>39</v>
      </c>
      <c r="C11" s="11" t="s">
        <v>40</v>
      </c>
      <c r="E11" s="191" t="s">
        <v>79</v>
      </c>
      <c r="F11" s="192" t="s">
        <v>80</v>
      </c>
      <c r="G11" s="192" t="s">
        <v>396</v>
      </c>
    </row>
    <row r="12" spans="2:15" ht="39" thickBot="1">
      <c r="B12" s="11" t="s">
        <v>41</v>
      </c>
      <c r="C12" s="11" t="s">
        <v>42</v>
      </c>
      <c r="E12" s="193" t="s">
        <v>397</v>
      </c>
      <c r="F12" s="194" t="s">
        <v>398</v>
      </c>
      <c r="G12" s="194" t="s">
        <v>399</v>
      </c>
    </row>
    <row r="13" spans="2:15">
      <c r="B13" s="11" t="s">
        <v>43</v>
      </c>
      <c r="C13" s="11" t="s">
        <v>44</v>
      </c>
    </row>
    <row r="14" spans="2:15">
      <c r="B14" s="11" t="s">
        <v>45</v>
      </c>
      <c r="C14" s="11"/>
    </row>
    <row r="17" spans="2:3">
      <c r="B17" s="519" t="s">
        <v>30</v>
      </c>
      <c r="C17" s="519"/>
    </row>
    <row r="18" spans="2:3">
      <c r="B18" s="11" t="s">
        <v>31</v>
      </c>
      <c r="C18" s="11" t="s">
        <v>46</v>
      </c>
    </row>
    <row r="19" spans="2:3">
      <c r="B19" s="11" t="s">
        <v>2</v>
      </c>
      <c r="C19" s="11" t="s">
        <v>33</v>
      </c>
    </row>
    <row r="20" spans="2:3">
      <c r="B20" s="11" t="s">
        <v>34</v>
      </c>
      <c r="C20" s="11" t="s">
        <v>47</v>
      </c>
    </row>
    <row r="21" spans="2:3">
      <c r="B21" s="11" t="s">
        <v>36</v>
      </c>
      <c r="C21" s="11" t="s">
        <v>48</v>
      </c>
    </row>
    <row r="22" spans="2:3">
      <c r="B22" s="11" t="s">
        <v>38</v>
      </c>
      <c r="C22" s="108"/>
    </row>
    <row r="23" spans="2:3">
      <c r="B23" s="11" t="s">
        <v>39</v>
      </c>
      <c r="C23" s="11" t="s">
        <v>40</v>
      </c>
    </row>
    <row r="24" spans="2:3">
      <c r="B24" s="11" t="s">
        <v>41</v>
      </c>
      <c r="C24" s="11" t="s">
        <v>42</v>
      </c>
    </row>
    <row r="25" spans="2:3">
      <c r="B25" s="11" t="s">
        <v>43</v>
      </c>
      <c r="C25" s="11" t="s">
        <v>44</v>
      </c>
    </row>
    <row r="26" spans="2:3">
      <c r="B26" s="11" t="s">
        <v>45</v>
      </c>
      <c r="C26" s="11"/>
    </row>
    <row r="29" spans="2:3">
      <c r="B29" s="519" t="s">
        <v>30</v>
      </c>
      <c r="C29" s="519"/>
    </row>
    <row r="30" spans="2:3">
      <c r="B30" s="11" t="s">
        <v>31</v>
      </c>
      <c r="C30" s="11" t="s">
        <v>49</v>
      </c>
    </row>
    <row r="31" spans="2:3">
      <c r="B31" s="11" t="s">
        <v>2</v>
      </c>
      <c r="C31" s="11" t="s">
        <v>33</v>
      </c>
    </row>
    <row r="32" spans="2:3">
      <c r="B32" s="11" t="s">
        <v>34</v>
      </c>
      <c r="C32" s="11" t="s">
        <v>50</v>
      </c>
    </row>
    <row r="33" spans="2:3">
      <c r="B33" s="11" t="s">
        <v>36</v>
      </c>
      <c r="C33" s="11" t="s">
        <v>51</v>
      </c>
    </row>
    <row r="34" spans="2:3">
      <c r="B34" s="11" t="s">
        <v>38</v>
      </c>
      <c r="C34" s="11"/>
    </row>
    <row r="35" spans="2:3">
      <c r="B35" s="11" t="s">
        <v>39</v>
      </c>
      <c r="C35" s="11" t="s">
        <v>52</v>
      </c>
    </row>
    <row r="36" spans="2:3">
      <c r="B36" s="11" t="s">
        <v>41</v>
      </c>
      <c r="C36" s="11" t="s">
        <v>53</v>
      </c>
    </row>
    <row r="37" spans="2:3">
      <c r="B37" s="11" t="s">
        <v>43</v>
      </c>
      <c r="C37" s="11" t="s">
        <v>44</v>
      </c>
    </row>
    <row r="38" spans="2:3" ht="91.5" customHeight="1">
      <c r="B38" s="12" t="s">
        <v>45</v>
      </c>
      <c r="C38" s="15" t="s">
        <v>54</v>
      </c>
    </row>
    <row r="41" spans="2:3">
      <c r="B41" s="519" t="s">
        <v>30</v>
      </c>
      <c r="C41" s="519"/>
    </row>
    <row r="42" spans="2:3">
      <c r="B42" s="11" t="s">
        <v>31</v>
      </c>
      <c r="C42" s="11" t="s">
        <v>55</v>
      </c>
    </row>
    <row r="43" spans="2:3">
      <c r="B43" s="11" t="s">
        <v>2</v>
      </c>
      <c r="C43" s="11" t="s">
        <v>33</v>
      </c>
    </row>
    <row r="44" spans="2:3">
      <c r="B44" s="11" t="s">
        <v>34</v>
      </c>
      <c r="C44" s="11" t="s">
        <v>56</v>
      </c>
    </row>
    <row r="45" spans="2:3">
      <c r="B45" s="11" t="s">
        <v>36</v>
      </c>
      <c r="C45" s="11" t="s">
        <v>57</v>
      </c>
    </row>
    <row r="46" spans="2:3">
      <c r="B46" s="11" t="s">
        <v>38</v>
      </c>
      <c r="C46" s="11"/>
    </row>
    <row r="47" spans="2:3">
      <c r="B47" s="11" t="s">
        <v>39</v>
      </c>
      <c r="C47" s="11" t="s">
        <v>58</v>
      </c>
    </row>
    <row r="48" spans="2:3">
      <c r="B48" s="11" t="s">
        <v>41</v>
      </c>
      <c r="C48" s="11" t="s">
        <v>59</v>
      </c>
    </row>
    <row r="49" spans="2:3">
      <c r="B49" s="11" t="s">
        <v>43</v>
      </c>
      <c r="C49" s="11" t="s">
        <v>44</v>
      </c>
    </row>
    <row r="50" spans="2:3">
      <c r="B50" s="11" t="s">
        <v>45</v>
      </c>
      <c r="C50" s="11" t="s">
        <v>60</v>
      </c>
    </row>
    <row r="53" spans="2:3">
      <c r="B53" s="519" t="s">
        <v>30</v>
      </c>
      <c r="C53" s="519"/>
    </row>
    <row r="54" spans="2:3">
      <c r="B54" s="11" t="s">
        <v>31</v>
      </c>
      <c r="C54" s="11" t="s">
        <v>61</v>
      </c>
    </row>
    <row r="55" spans="2:3">
      <c r="B55" s="11" t="s">
        <v>2</v>
      </c>
      <c r="C55" s="11" t="s">
        <v>33</v>
      </c>
    </row>
    <row r="56" spans="2:3">
      <c r="B56" s="11" t="s">
        <v>34</v>
      </c>
      <c r="C56" s="11" t="s">
        <v>62</v>
      </c>
    </row>
    <row r="57" spans="2:3">
      <c r="B57" s="11" t="s">
        <v>36</v>
      </c>
      <c r="C57" s="11" t="s">
        <v>63</v>
      </c>
    </row>
    <row r="58" spans="2:3">
      <c r="B58" s="11" t="s">
        <v>38</v>
      </c>
      <c r="C58" s="11"/>
    </row>
    <row r="59" spans="2:3">
      <c r="B59" s="11" t="s">
        <v>39</v>
      </c>
      <c r="C59" s="11" t="s">
        <v>64</v>
      </c>
    </row>
    <row r="60" spans="2:3">
      <c r="B60" s="11" t="s">
        <v>41</v>
      </c>
      <c r="C60" s="11" t="s">
        <v>65</v>
      </c>
    </row>
    <row r="61" spans="2:3">
      <c r="B61" s="11" t="s">
        <v>43</v>
      </c>
      <c r="C61" s="11" t="s">
        <v>44</v>
      </c>
    </row>
    <row r="62" spans="2:3">
      <c r="B62" s="11" t="s">
        <v>45</v>
      </c>
      <c r="C62" s="11" t="s">
        <v>66</v>
      </c>
    </row>
    <row r="65" spans="2:3">
      <c r="B65" s="519" t="s">
        <v>30</v>
      </c>
      <c r="C65" s="519"/>
    </row>
    <row r="66" spans="2:3">
      <c r="B66" s="11" t="s">
        <v>31</v>
      </c>
      <c r="C66" s="11" t="s">
        <v>67</v>
      </c>
    </row>
    <row r="67" spans="2:3">
      <c r="B67" s="11" t="s">
        <v>2</v>
      </c>
      <c r="C67" s="11" t="s">
        <v>33</v>
      </c>
    </row>
    <row r="68" spans="2:3">
      <c r="B68" s="11" t="s">
        <v>34</v>
      </c>
      <c r="C68" s="11" t="s">
        <v>68</v>
      </c>
    </row>
    <row r="69" spans="2:3">
      <c r="B69" s="11" t="s">
        <v>36</v>
      </c>
      <c r="C69" s="11" t="s">
        <v>63</v>
      </c>
    </row>
    <row r="70" spans="2:3">
      <c r="B70" s="11" t="s">
        <v>38</v>
      </c>
      <c r="C70" s="11"/>
    </row>
    <row r="71" spans="2:3">
      <c r="B71" s="11" t="s">
        <v>39</v>
      </c>
      <c r="C71" s="11" t="s">
        <v>69</v>
      </c>
    </row>
    <row r="72" spans="2:3">
      <c r="B72" s="11" t="s">
        <v>41</v>
      </c>
      <c r="C72" s="11" t="s">
        <v>70</v>
      </c>
    </row>
    <row r="73" spans="2:3">
      <c r="B73" s="11" t="s">
        <v>43</v>
      </c>
      <c r="C73" s="11" t="s">
        <v>44</v>
      </c>
    </row>
    <row r="74" spans="2:3">
      <c r="B74" s="11" t="s">
        <v>45</v>
      </c>
      <c r="C74" s="11" t="s">
        <v>71</v>
      </c>
    </row>
    <row r="77" spans="2:3">
      <c r="B77" s="519" t="s">
        <v>30</v>
      </c>
      <c r="C77" s="519"/>
    </row>
    <row r="78" spans="2:3">
      <c r="B78" s="11" t="s">
        <v>31</v>
      </c>
      <c r="C78" s="11" t="s">
        <v>72</v>
      </c>
    </row>
    <row r="79" spans="2:3">
      <c r="B79" s="11" t="s">
        <v>2</v>
      </c>
      <c r="C79" s="11" t="s">
        <v>33</v>
      </c>
    </row>
    <row r="80" spans="2:3">
      <c r="B80" s="11" t="s">
        <v>34</v>
      </c>
      <c r="C80" s="11" t="s">
        <v>33</v>
      </c>
    </row>
    <row r="81" spans="2:3">
      <c r="B81" s="11" t="s">
        <v>36</v>
      </c>
      <c r="C81" s="11" t="s">
        <v>73</v>
      </c>
    </row>
    <row r="82" spans="2:3">
      <c r="B82" s="11" t="s">
        <v>38</v>
      </c>
      <c r="C82" s="11"/>
    </row>
    <row r="83" spans="2:3">
      <c r="B83" s="11" t="s">
        <v>39</v>
      </c>
      <c r="C83" s="11" t="s">
        <v>74</v>
      </c>
    </row>
    <row r="84" spans="2:3">
      <c r="B84" s="11" t="s">
        <v>41</v>
      </c>
      <c r="C84" s="11" t="s">
        <v>75</v>
      </c>
    </row>
    <row r="85" spans="2:3">
      <c r="B85" s="11" t="s">
        <v>43</v>
      </c>
      <c r="C85" s="11" t="s">
        <v>44</v>
      </c>
    </row>
    <row r="86" spans="2:3">
      <c r="B86" s="11" t="s">
        <v>45</v>
      </c>
      <c r="C86" s="11" t="s">
        <v>76</v>
      </c>
    </row>
  </sheetData>
  <mergeCells count="8">
    <mergeCell ref="E5:F5"/>
    <mergeCell ref="B77:C77"/>
    <mergeCell ref="B5:C5"/>
    <mergeCell ref="B17:C17"/>
    <mergeCell ref="B29:C29"/>
    <mergeCell ref="B41:C41"/>
    <mergeCell ref="B53:C53"/>
    <mergeCell ref="B65:C65"/>
  </mergeCells>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sheetPr>
    <tabColor theme="9" tint="-0.249977111117893"/>
  </sheetPr>
  <dimension ref="A1:N7"/>
  <sheetViews>
    <sheetView zoomScale="90" zoomScaleNormal="90" workbookViewId="0">
      <pane ySplit="1" topLeftCell="A2" activePane="bottomLeft" state="frozen"/>
      <selection pane="bottomLeft" activeCell="A2" sqref="A2:N3"/>
    </sheetView>
  </sheetViews>
  <sheetFormatPr baseColWidth="10" defaultRowHeight="15"/>
  <cols>
    <col min="1" max="2" width="13.5703125" customWidth="1"/>
    <col min="3" max="3" width="15.28515625" customWidth="1"/>
    <col min="4" max="4" width="15.42578125" customWidth="1"/>
    <col min="5" max="5" width="16.5703125" customWidth="1"/>
    <col min="7" max="7" width="14.85546875" customWidth="1"/>
    <col min="8" max="9" width="15" customWidth="1"/>
    <col min="10" max="10" width="14.140625" customWidth="1"/>
    <col min="13" max="13" width="15.85546875" customWidth="1"/>
    <col min="14" max="14" width="19.140625" customWidth="1"/>
    <col min="257" max="258" width="13.5703125" customWidth="1"/>
    <col min="259" max="259" width="15.28515625" customWidth="1"/>
    <col min="260" max="260" width="15.42578125" customWidth="1"/>
    <col min="261" max="261" width="16.5703125" customWidth="1"/>
    <col min="263" max="263" width="14.85546875" customWidth="1"/>
    <col min="264" max="265" width="15" customWidth="1"/>
    <col min="266" max="266" width="14.140625" customWidth="1"/>
    <col min="269" max="269" width="15.85546875" customWidth="1"/>
    <col min="270" max="270" width="19.140625" customWidth="1"/>
    <col min="513" max="514" width="13.5703125" customWidth="1"/>
    <col min="515" max="515" width="15.28515625" customWidth="1"/>
    <col min="516" max="516" width="15.42578125" customWidth="1"/>
    <col min="517" max="517" width="16.5703125" customWidth="1"/>
    <col min="519" max="519" width="14.85546875" customWidth="1"/>
    <col min="520" max="521" width="15" customWidth="1"/>
    <col min="522" max="522" width="14.140625" customWidth="1"/>
    <col min="525" max="525" width="15.85546875" customWidth="1"/>
    <col min="526" max="526" width="19.140625" customWidth="1"/>
    <col min="769" max="770" width="13.5703125" customWidth="1"/>
    <col min="771" max="771" width="15.28515625" customWidth="1"/>
    <col min="772" max="772" width="15.42578125" customWidth="1"/>
    <col min="773" max="773" width="16.5703125" customWidth="1"/>
    <col min="775" max="775" width="14.85546875" customWidth="1"/>
    <col min="776" max="777" width="15" customWidth="1"/>
    <col min="778" max="778" width="14.140625" customWidth="1"/>
    <col min="781" max="781" width="15.85546875" customWidth="1"/>
    <col min="782" max="782" width="19.140625" customWidth="1"/>
    <col min="1025" max="1026" width="13.5703125" customWidth="1"/>
    <col min="1027" max="1027" width="15.28515625" customWidth="1"/>
    <col min="1028" max="1028" width="15.42578125" customWidth="1"/>
    <col min="1029" max="1029" width="16.5703125" customWidth="1"/>
    <col min="1031" max="1031" width="14.85546875" customWidth="1"/>
    <col min="1032" max="1033" width="15" customWidth="1"/>
    <col min="1034" max="1034" width="14.140625" customWidth="1"/>
    <col min="1037" max="1037" width="15.85546875" customWidth="1"/>
    <col min="1038" max="1038" width="19.140625" customWidth="1"/>
    <col min="1281" max="1282" width="13.5703125" customWidth="1"/>
    <col min="1283" max="1283" width="15.28515625" customWidth="1"/>
    <col min="1284" max="1284" width="15.42578125" customWidth="1"/>
    <col min="1285" max="1285" width="16.5703125" customWidth="1"/>
    <col min="1287" max="1287" width="14.85546875" customWidth="1"/>
    <col min="1288" max="1289" width="15" customWidth="1"/>
    <col min="1290" max="1290" width="14.140625" customWidth="1"/>
    <col min="1293" max="1293" width="15.85546875" customWidth="1"/>
    <col min="1294" max="1294" width="19.140625" customWidth="1"/>
    <col min="1537" max="1538" width="13.5703125" customWidth="1"/>
    <col min="1539" max="1539" width="15.28515625" customWidth="1"/>
    <col min="1540" max="1540" width="15.42578125" customWidth="1"/>
    <col min="1541" max="1541" width="16.5703125" customWidth="1"/>
    <col min="1543" max="1543" width="14.85546875" customWidth="1"/>
    <col min="1544" max="1545" width="15" customWidth="1"/>
    <col min="1546" max="1546" width="14.140625" customWidth="1"/>
    <col min="1549" max="1549" width="15.85546875" customWidth="1"/>
    <col min="1550" max="1550" width="19.140625" customWidth="1"/>
    <col min="1793" max="1794" width="13.5703125" customWidth="1"/>
    <col min="1795" max="1795" width="15.28515625" customWidth="1"/>
    <col min="1796" max="1796" width="15.42578125" customWidth="1"/>
    <col min="1797" max="1797" width="16.5703125" customWidth="1"/>
    <col min="1799" max="1799" width="14.85546875" customWidth="1"/>
    <col min="1800" max="1801" width="15" customWidth="1"/>
    <col min="1802" max="1802" width="14.140625" customWidth="1"/>
    <col min="1805" max="1805" width="15.85546875" customWidth="1"/>
    <col min="1806" max="1806" width="19.140625" customWidth="1"/>
    <col min="2049" max="2050" width="13.5703125" customWidth="1"/>
    <col min="2051" max="2051" width="15.28515625" customWidth="1"/>
    <col min="2052" max="2052" width="15.42578125" customWidth="1"/>
    <col min="2053" max="2053" width="16.5703125" customWidth="1"/>
    <col min="2055" max="2055" width="14.85546875" customWidth="1"/>
    <col min="2056" max="2057" width="15" customWidth="1"/>
    <col min="2058" max="2058" width="14.140625" customWidth="1"/>
    <col min="2061" max="2061" width="15.85546875" customWidth="1"/>
    <col min="2062" max="2062" width="19.140625" customWidth="1"/>
    <col min="2305" max="2306" width="13.5703125" customWidth="1"/>
    <col min="2307" max="2307" width="15.28515625" customWidth="1"/>
    <col min="2308" max="2308" width="15.42578125" customWidth="1"/>
    <col min="2309" max="2309" width="16.5703125" customWidth="1"/>
    <col min="2311" max="2311" width="14.85546875" customWidth="1"/>
    <col min="2312" max="2313" width="15" customWidth="1"/>
    <col min="2314" max="2314" width="14.140625" customWidth="1"/>
    <col min="2317" max="2317" width="15.85546875" customWidth="1"/>
    <col min="2318" max="2318" width="19.140625" customWidth="1"/>
    <col min="2561" max="2562" width="13.5703125" customWidth="1"/>
    <col min="2563" max="2563" width="15.28515625" customWidth="1"/>
    <col min="2564" max="2564" width="15.42578125" customWidth="1"/>
    <col min="2565" max="2565" width="16.5703125" customWidth="1"/>
    <col min="2567" max="2567" width="14.85546875" customWidth="1"/>
    <col min="2568" max="2569" width="15" customWidth="1"/>
    <col min="2570" max="2570" width="14.140625" customWidth="1"/>
    <col min="2573" max="2573" width="15.85546875" customWidth="1"/>
    <col min="2574" max="2574" width="19.140625" customWidth="1"/>
    <col min="2817" max="2818" width="13.5703125" customWidth="1"/>
    <col min="2819" max="2819" width="15.28515625" customWidth="1"/>
    <col min="2820" max="2820" width="15.42578125" customWidth="1"/>
    <col min="2821" max="2821" width="16.5703125" customWidth="1"/>
    <col min="2823" max="2823" width="14.85546875" customWidth="1"/>
    <col min="2824" max="2825" width="15" customWidth="1"/>
    <col min="2826" max="2826" width="14.140625" customWidth="1"/>
    <col min="2829" max="2829" width="15.85546875" customWidth="1"/>
    <col min="2830" max="2830" width="19.140625" customWidth="1"/>
    <col min="3073" max="3074" width="13.5703125" customWidth="1"/>
    <col min="3075" max="3075" width="15.28515625" customWidth="1"/>
    <col min="3076" max="3076" width="15.42578125" customWidth="1"/>
    <col min="3077" max="3077" width="16.5703125" customWidth="1"/>
    <col min="3079" max="3079" width="14.85546875" customWidth="1"/>
    <col min="3080" max="3081" width="15" customWidth="1"/>
    <col min="3082" max="3082" width="14.140625" customWidth="1"/>
    <col min="3085" max="3085" width="15.85546875" customWidth="1"/>
    <col min="3086" max="3086" width="19.140625" customWidth="1"/>
    <col min="3329" max="3330" width="13.5703125" customWidth="1"/>
    <col min="3331" max="3331" width="15.28515625" customWidth="1"/>
    <col min="3332" max="3332" width="15.42578125" customWidth="1"/>
    <col min="3333" max="3333" width="16.5703125" customWidth="1"/>
    <col min="3335" max="3335" width="14.85546875" customWidth="1"/>
    <col min="3336" max="3337" width="15" customWidth="1"/>
    <col min="3338" max="3338" width="14.140625" customWidth="1"/>
    <col min="3341" max="3341" width="15.85546875" customWidth="1"/>
    <col min="3342" max="3342" width="19.140625" customWidth="1"/>
    <col min="3585" max="3586" width="13.5703125" customWidth="1"/>
    <col min="3587" max="3587" width="15.28515625" customWidth="1"/>
    <col min="3588" max="3588" width="15.42578125" customWidth="1"/>
    <col min="3589" max="3589" width="16.5703125" customWidth="1"/>
    <col min="3591" max="3591" width="14.85546875" customWidth="1"/>
    <col min="3592" max="3593" width="15" customWidth="1"/>
    <col min="3594" max="3594" width="14.140625" customWidth="1"/>
    <col min="3597" max="3597" width="15.85546875" customWidth="1"/>
    <col min="3598" max="3598" width="19.140625" customWidth="1"/>
    <col min="3841" max="3842" width="13.5703125" customWidth="1"/>
    <col min="3843" max="3843" width="15.28515625" customWidth="1"/>
    <col min="3844" max="3844" width="15.42578125" customWidth="1"/>
    <col min="3845" max="3845" width="16.5703125" customWidth="1"/>
    <col min="3847" max="3847" width="14.85546875" customWidth="1"/>
    <col min="3848" max="3849" width="15" customWidth="1"/>
    <col min="3850" max="3850" width="14.140625" customWidth="1"/>
    <col min="3853" max="3853" width="15.85546875" customWidth="1"/>
    <col min="3854" max="3854" width="19.140625" customWidth="1"/>
    <col min="4097" max="4098" width="13.5703125" customWidth="1"/>
    <col min="4099" max="4099" width="15.28515625" customWidth="1"/>
    <col min="4100" max="4100" width="15.42578125" customWidth="1"/>
    <col min="4101" max="4101" width="16.5703125" customWidth="1"/>
    <col min="4103" max="4103" width="14.85546875" customWidth="1"/>
    <col min="4104" max="4105" width="15" customWidth="1"/>
    <col min="4106" max="4106" width="14.140625" customWidth="1"/>
    <col min="4109" max="4109" width="15.85546875" customWidth="1"/>
    <col min="4110" max="4110" width="19.140625" customWidth="1"/>
    <col min="4353" max="4354" width="13.5703125" customWidth="1"/>
    <col min="4355" max="4355" width="15.28515625" customWidth="1"/>
    <col min="4356" max="4356" width="15.42578125" customWidth="1"/>
    <col min="4357" max="4357" width="16.5703125" customWidth="1"/>
    <col min="4359" max="4359" width="14.85546875" customWidth="1"/>
    <col min="4360" max="4361" width="15" customWidth="1"/>
    <col min="4362" max="4362" width="14.140625" customWidth="1"/>
    <col min="4365" max="4365" width="15.85546875" customWidth="1"/>
    <col min="4366" max="4366" width="19.140625" customWidth="1"/>
    <col min="4609" max="4610" width="13.5703125" customWidth="1"/>
    <col min="4611" max="4611" width="15.28515625" customWidth="1"/>
    <col min="4612" max="4612" width="15.42578125" customWidth="1"/>
    <col min="4613" max="4613" width="16.5703125" customWidth="1"/>
    <col min="4615" max="4615" width="14.85546875" customWidth="1"/>
    <col min="4616" max="4617" width="15" customWidth="1"/>
    <col min="4618" max="4618" width="14.140625" customWidth="1"/>
    <col min="4621" max="4621" width="15.85546875" customWidth="1"/>
    <col min="4622" max="4622" width="19.140625" customWidth="1"/>
    <col min="4865" max="4866" width="13.5703125" customWidth="1"/>
    <col min="4867" max="4867" width="15.28515625" customWidth="1"/>
    <col min="4868" max="4868" width="15.42578125" customWidth="1"/>
    <col min="4869" max="4869" width="16.5703125" customWidth="1"/>
    <col min="4871" max="4871" width="14.85546875" customWidth="1"/>
    <col min="4872" max="4873" width="15" customWidth="1"/>
    <col min="4874" max="4874" width="14.140625" customWidth="1"/>
    <col min="4877" max="4877" width="15.85546875" customWidth="1"/>
    <col min="4878" max="4878" width="19.140625" customWidth="1"/>
    <col min="5121" max="5122" width="13.5703125" customWidth="1"/>
    <col min="5123" max="5123" width="15.28515625" customWidth="1"/>
    <col min="5124" max="5124" width="15.42578125" customWidth="1"/>
    <col min="5125" max="5125" width="16.5703125" customWidth="1"/>
    <col min="5127" max="5127" width="14.85546875" customWidth="1"/>
    <col min="5128" max="5129" width="15" customWidth="1"/>
    <col min="5130" max="5130" width="14.140625" customWidth="1"/>
    <col min="5133" max="5133" width="15.85546875" customWidth="1"/>
    <col min="5134" max="5134" width="19.140625" customWidth="1"/>
    <col min="5377" max="5378" width="13.5703125" customWidth="1"/>
    <col min="5379" max="5379" width="15.28515625" customWidth="1"/>
    <col min="5380" max="5380" width="15.42578125" customWidth="1"/>
    <col min="5381" max="5381" width="16.5703125" customWidth="1"/>
    <col min="5383" max="5383" width="14.85546875" customWidth="1"/>
    <col min="5384" max="5385" width="15" customWidth="1"/>
    <col min="5386" max="5386" width="14.140625" customWidth="1"/>
    <col min="5389" max="5389" width="15.85546875" customWidth="1"/>
    <col min="5390" max="5390" width="19.140625" customWidth="1"/>
    <col min="5633" max="5634" width="13.5703125" customWidth="1"/>
    <col min="5635" max="5635" width="15.28515625" customWidth="1"/>
    <col min="5636" max="5636" width="15.42578125" customWidth="1"/>
    <col min="5637" max="5637" width="16.5703125" customWidth="1"/>
    <col min="5639" max="5639" width="14.85546875" customWidth="1"/>
    <col min="5640" max="5641" width="15" customWidth="1"/>
    <col min="5642" max="5642" width="14.140625" customWidth="1"/>
    <col min="5645" max="5645" width="15.85546875" customWidth="1"/>
    <col min="5646" max="5646" width="19.140625" customWidth="1"/>
    <col min="5889" max="5890" width="13.5703125" customWidth="1"/>
    <col min="5891" max="5891" width="15.28515625" customWidth="1"/>
    <col min="5892" max="5892" width="15.42578125" customWidth="1"/>
    <col min="5893" max="5893" width="16.5703125" customWidth="1"/>
    <col min="5895" max="5895" width="14.85546875" customWidth="1"/>
    <col min="5896" max="5897" width="15" customWidth="1"/>
    <col min="5898" max="5898" width="14.140625" customWidth="1"/>
    <col min="5901" max="5901" width="15.85546875" customWidth="1"/>
    <col min="5902" max="5902" width="19.140625" customWidth="1"/>
    <col min="6145" max="6146" width="13.5703125" customWidth="1"/>
    <col min="6147" max="6147" width="15.28515625" customWidth="1"/>
    <col min="6148" max="6148" width="15.42578125" customWidth="1"/>
    <col min="6149" max="6149" width="16.5703125" customWidth="1"/>
    <col min="6151" max="6151" width="14.85546875" customWidth="1"/>
    <col min="6152" max="6153" width="15" customWidth="1"/>
    <col min="6154" max="6154" width="14.140625" customWidth="1"/>
    <col min="6157" max="6157" width="15.85546875" customWidth="1"/>
    <col min="6158" max="6158" width="19.140625" customWidth="1"/>
    <col min="6401" max="6402" width="13.5703125" customWidth="1"/>
    <col min="6403" max="6403" width="15.28515625" customWidth="1"/>
    <col min="6404" max="6404" width="15.42578125" customWidth="1"/>
    <col min="6405" max="6405" width="16.5703125" customWidth="1"/>
    <col min="6407" max="6407" width="14.85546875" customWidth="1"/>
    <col min="6408" max="6409" width="15" customWidth="1"/>
    <col min="6410" max="6410" width="14.140625" customWidth="1"/>
    <col min="6413" max="6413" width="15.85546875" customWidth="1"/>
    <col min="6414" max="6414" width="19.140625" customWidth="1"/>
    <col min="6657" max="6658" width="13.5703125" customWidth="1"/>
    <col min="6659" max="6659" width="15.28515625" customWidth="1"/>
    <col min="6660" max="6660" width="15.42578125" customWidth="1"/>
    <col min="6661" max="6661" width="16.5703125" customWidth="1"/>
    <col min="6663" max="6663" width="14.85546875" customWidth="1"/>
    <col min="6664" max="6665" width="15" customWidth="1"/>
    <col min="6666" max="6666" width="14.140625" customWidth="1"/>
    <col min="6669" max="6669" width="15.85546875" customWidth="1"/>
    <col min="6670" max="6670" width="19.140625" customWidth="1"/>
    <col min="6913" max="6914" width="13.5703125" customWidth="1"/>
    <col min="6915" max="6915" width="15.28515625" customWidth="1"/>
    <col min="6916" max="6916" width="15.42578125" customWidth="1"/>
    <col min="6917" max="6917" width="16.5703125" customWidth="1"/>
    <col min="6919" max="6919" width="14.85546875" customWidth="1"/>
    <col min="6920" max="6921" width="15" customWidth="1"/>
    <col min="6922" max="6922" width="14.140625" customWidth="1"/>
    <col min="6925" max="6925" width="15.85546875" customWidth="1"/>
    <col min="6926" max="6926" width="19.140625" customWidth="1"/>
    <col min="7169" max="7170" width="13.5703125" customWidth="1"/>
    <col min="7171" max="7171" width="15.28515625" customWidth="1"/>
    <col min="7172" max="7172" width="15.42578125" customWidth="1"/>
    <col min="7173" max="7173" width="16.5703125" customWidth="1"/>
    <col min="7175" max="7175" width="14.85546875" customWidth="1"/>
    <col min="7176" max="7177" width="15" customWidth="1"/>
    <col min="7178" max="7178" width="14.140625" customWidth="1"/>
    <col min="7181" max="7181" width="15.85546875" customWidth="1"/>
    <col min="7182" max="7182" width="19.140625" customWidth="1"/>
    <col min="7425" max="7426" width="13.5703125" customWidth="1"/>
    <col min="7427" max="7427" width="15.28515625" customWidth="1"/>
    <col min="7428" max="7428" width="15.42578125" customWidth="1"/>
    <col min="7429" max="7429" width="16.5703125" customWidth="1"/>
    <col min="7431" max="7431" width="14.85546875" customWidth="1"/>
    <col min="7432" max="7433" width="15" customWidth="1"/>
    <col min="7434" max="7434" width="14.140625" customWidth="1"/>
    <col min="7437" max="7437" width="15.85546875" customWidth="1"/>
    <col min="7438" max="7438" width="19.140625" customWidth="1"/>
    <col min="7681" max="7682" width="13.5703125" customWidth="1"/>
    <col min="7683" max="7683" width="15.28515625" customWidth="1"/>
    <col min="7684" max="7684" width="15.42578125" customWidth="1"/>
    <col min="7685" max="7685" width="16.5703125" customWidth="1"/>
    <col min="7687" max="7687" width="14.85546875" customWidth="1"/>
    <col min="7688" max="7689" width="15" customWidth="1"/>
    <col min="7690" max="7690" width="14.140625" customWidth="1"/>
    <col min="7693" max="7693" width="15.85546875" customWidth="1"/>
    <col min="7694" max="7694" width="19.140625" customWidth="1"/>
    <col min="7937" max="7938" width="13.5703125" customWidth="1"/>
    <col min="7939" max="7939" width="15.28515625" customWidth="1"/>
    <col min="7940" max="7940" width="15.42578125" customWidth="1"/>
    <col min="7941" max="7941" width="16.5703125" customWidth="1"/>
    <col min="7943" max="7943" width="14.85546875" customWidth="1"/>
    <col min="7944" max="7945" width="15" customWidth="1"/>
    <col min="7946" max="7946" width="14.140625" customWidth="1"/>
    <col min="7949" max="7949" width="15.85546875" customWidth="1"/>
    <col min="7950" max="7950" width="19.140625" customWidth="1"/>
    <col min="8193" max="8194" width="13.5703125" customWidth="1"/>
    <col min="8195" max="8195" width="15.28515625" customWidth="1"/>
    <col min="8196" max="8196" width="15.42578125" customWidth="1"/>
    <col min="8197" max="8197" width="16.5703125" customWidth="1"/>
    <col min="8199" max="8199" width="14.85546875" customWidth="1"/>
    <col min="8200" max="8201" width="15" customWidth="1"/>
    <col min="8202" max="8202" width="14.140625" customWidth="1"/>
    <col min="8205" max="8205" width="15.85546875" customWidth="1"/>
    <col min="8206" max="8206" width="19.140625" customWidth="1"/>
    <col min="8449" max="8450" width="13.5703125" customWidth="1"/>
    <col min="8451" max="8451" width="15.28515625" customWidth="1"/>
    <col min="8452" max="8452" width="15.42578125" customWidth="1"/>
    <col min="8453" max="8453" width="16.5703125" customWidth="1"/>
    <col min="8455" max="8455" width="14.85546875" customWidth="1"/>
    <col min="8456" max="8457" width="15" customWidth="1"/>
    <col min="8458" max="8458" width="14.140625" customWidth="1"/>
    <col min="8461" max="8461" width="15.85546875" customWidth="1"/>
    <col min="8462" max="8462" width="19.140625" customWidth="1"/>
    <col min="8705" max="8706" width="13.5703125" customWidth="1"/>
    <col min="8707" max="8707" width="15.28515625" customWidth="1"/>
    <col min="8708" max="8708" width="15.42578125" customWidth="1"/>
    <col min="8709" max="8709" width="16.5703125" customWidth="1"/>
    <col min="8711" max="8711" width="14.85546875" customWidth="1"/>
    <col min="8712" max="8713" width="15" customWidth="1"/>
    <col min="8714" max="8714" width="14.140625" customWidth="1"/>
    <col min="8717" max="8717" width="15.85546875" customWidth="1"/>
    <col min="8718" max="8718" width="19.140625" customWidth="1"/>
    <col min="8961" max="8962" width="13.5703125" customWidth="1"/>
    <col min="8963" max="8963" width="15.28515625" customWidth="1"/>
    <col min="8964" max="8964" width="15.42578125" customWidth="1"/>
    <col min="8965" max="8965" width="16.5703125" customWidth="1"/>
    <col min="8967" max="8967" width="14.85546875" customWidth="1"/>
    <col min="8968" max="8969" width="15" customWidth="1"/>
    <col min="8970" max="8970" width="14.140625" customWidth="1"/>
    <col min="8973" max="8973" width="15.85546875" customWidth="1"/>
    <col min="8974" max="8974" width="19.140625" customWidth="1"/>
    <col min="9217" max="9218" width="13.5703125" customWidth="1"/>
    <col min="9219" max="9219" width="15.28515625" customWidth="1"/>
    <col min="9220" max="9220" width="15.42578125" customWidth="1"/>
    <col min="9221" max="9221" width="16.5703125" customWidth="1"/>
    <col min="9223" max="9223" width="14.85546875" customWidth="1"/>
    <col min="9224" max="9225" width="15" customWidth="1"/>
    <col min="9226" max="9226" width="14.140625" customWidth="1"/>
    <col min="9229" max="9229" width="15.85546875" customWidth="1"/>
    <col min="9230" max="9230" width="19.140625" customWidth="1"/>
    <col min="9473" max="9474" width="13.5703125" customWidth="1"/>
    <col min="9475" max="9475" width="15.28515625" customWidth="1"/>
    <col min="9476" max="9476" width="15.42578125" customWidth="1"/>
    <col min="9477" max="9477" width="16.5703125" customWidth="1"/>
    <col min="9479" max="9479" width="14.85546875" customWidth="1"/>
    <col min="9480" max="9481" width="15" customWidth="1"/>
    <col min="9482" max="9482" width="14.140625" customWidth="1"/>
    <col min="9485" max="9485" width="15.85546875" customWidth="1"/>
    <col min="9486" max="9486" width="19.140625" customWidth="1"/>
    <col min="9729" max="9730" width="13.5703125" customWidth="1"/>
    <col min="9731" max="9731" width="15.28515625" customWidth="1"/>
    <col min="9732" max="9732" width="15.42578125" customWidth="1"/>
    <col min="9733" max="9733" width="16.5703125" customWidth="1"/>
    <col min="9735" max="9735" width="14.85546875" customWidth="1"/>
    <col min="9736" max="9737" width="15" customWidth="1"/>
    <col min="9738" max="9738" width="14.140625" customWidth="1"/>
    <col min="9741" max="9741" width="15.85546875" customWidth="1"/>
    <col min="9742" max="9742" width="19.140625" customWidth="1"/>
    <col min="9985" max="9986" width="13.5703125" customWidth="1"/>
    <col min="9987" max="9987" width="15.28515625" customWidth="1"/>
    <col min="9988" max="9988" width="15.42578125" customWidth="1"/>
    <col min="9989" max="9989" width="16.5703125" customWidth="1"/>
    <col min="9991" max="9991" width="14.85546875" customWidth="1"/>
    <col min="9992" max="9993" width="15" customWidth="1"/>
    <col min="9994" max="9994" width="14.140625" customWidth="1"/>
    <col min="9997" max="9997" width="15.85546875" customWidth="1"/>
    <col min="9998" max="9998" width="19.140625" customWidth="1"/>
    <col min="10241" max="10242" width="13.5703125" customWidth="1"/>
    <col min="10243" max="10243" width="15.28515625" customWidth="1"/>
    <col min="10244" max="10244" width="15.42578125" customWidth="1"/>
    <col min="10245" max="10245" width="16.5703125" customWidth="1"/>
    <col min="10247" max="10247" width="14.85546875" customWidth="1"/>
    <col min="10248" max="10249" width="15" customWidth="1"/>
    <col min="10250" max="10250" width="14.140625" customWidth="1"/>
    <col min="10253" max="10253" width="15.85546875" customWidth="1"/>
    <col min="10254" max="10254" width="19.140625" customWidth="1"/>
    <col min="10497" max="10498" width="13.5703125" customWidth="1"/>
    <col min="10499" max="10499" width="15.28515625" customWidth="1"/>
    <col min="10500" max="10500" width="15.42578125" customWidth="1"/>
    <col min="10501" max="10501" width="16.5703125" customWidth="1"/>
    <col min="10503" max="10503" width="14.85546875" customWidth="1"/>
    <col min="10504" max="10505" width="15" customWidth="1"/>
    <col min="10506" max="10506" width="14.140625" customWidth="1"/>
    <col min="10509" max="10509" width="15.85546875" customWidth="1"/>
    <col min="10510" max="10510" width="19.140625" customWidth="1"/>
    <col min="10753" max="10754" width="13.5703125" customWidth="1"/>
    <col min="10755" max="10755" width="15.28515625" customWidth="1"/>
    <col min="10756" max="10756" width="15.42578125" customWidth="1"/>
    <col min="10757" max="10757" width="16.5703125" customWidth="1"/>
    <col min="10759" max="10759" width="14.85546875" customWidth="1"/>
    <col min="10760" max="10761" width="15" customWidth="1"/>
    <col min="10762" max="10762" width="14.140625" customWidth="1"/>
    <col min="10765" max="10765" width="15.85546875" customWidth="1"/>
    <col min="10766" max="10766" width="19.140625" customWidth="1"/>
    <col min="11009" max="11010" width="13.5703125" customWidth="1"/>
    <col min="11011" max="11011" width="15.28515625" customWidth="1"/>
    <col min="11012" max="11012" width="15.42578125" customWidth="1"/>
    <col min="11013" max="11013" width="16.5703125" customWidth="1"/>
    <col min="11015" max="11015" width="14.85546875" customWidth="1"/>
    <col min="11016" max="11017" width="15" customWidth="1"/>
    <col min="11018" max="11018" width="14.140625" customWidth="1"/>
    <col min="11021" max="11021" width="15.85546875" customWidth="1"/>
    <col min="11022" max="11022" width="19.140625" customWidth="1"/>
    <col min="11265" max="11266" width="13.5703125" customWidth="1"/>
    <col min="11267" max="11267" width="15.28515625" customWidth="1"/>
    <col min="11268" max="11268" width="15.42578125" customWidth="1"/>
    <col min="11269" max="11269" width="16.5703125" customWidth="1"/>
    <col min="11271" max="11271" width="14.85546875" customWidth="1"/>
    <col min="11272" max="11273" width="15" customWidth="1"/>
    <col min="11274" max="11274" width="14.140625" customWidth="1"/>
    <col min="11277" max="11277" width="15.85546875" customWidth="1"/>
    <col min="11278" max="11278" width="19.140625" customWidth="1"/>
    <col min="11521" max="11522" width="13.5703125" customWidth="1"/>
    <col min="11523" max="11523" width="15.28515625" customWidth="1"/>
    <col min="11524" max="11524" width="15.42578125" customWidth="1"/>
    <col min="11525" max="11525" width="16.5703125" customWidth="1"/>
    <col min="11527" max="11527" width="14.85546875" customWidth="1"/>
    <col min="11528" max="11529" width="15" customWidth="1"/>
    <col min="11530" max="11530" width="14.140625" customWidth="1"/>
    <col min="11533" max="11533" width="15.85546875" customWidth="1"/>
    <col min="11534" max="11534" width="19.140625" customWidth="1"/>
    <col min="11777" max="11778" width="13.5703125" customWidth="1"/>
    <col min="11779" max="11779" width="15.28515625" customWidth="1"/>
    <col min="11780" max="11780" width="15.42578125" customWidth="1"/>
    <col min="11781" max="11781" width="16.5703125" customWidth="1"/>
    <col min="11783" max="11783" width="14.85546875" customWidth="1"/>
    <col min="11784" max="11785" width="15" customWidth="1"/>
    <col min="11786" max="11786" width="14.140625" customWidth="1"/>
    <col min="11789" max="11789" width="15.85546875" customWidth="1"/>
    <col min="11790" max="11790" width="19.140625" customWidth="1"/>
    <col min="12033" max="12034" width="13.5703125" customWidth="1"/>
    <col min="12035" max="12035" width="15.28515625" customWidth="1"/>
    <col min="12036" max="12036" width="15.42578125" customWidth="1"/>
    <col min="12037" max="12037" width="16.5703125" customWidth="1"/>
    <col min="12039" max="12039" width="14.85546875" customWidth="1"/>
    <col min="12040" max="12041" width="15" customWidth="1"/>
    <col min="12042" max="12042" width="14.140625" customWidth="1"/>
    <col min="12045" max="12045" width="15.85546875" customWidth="1"/>
    <col min="12046" max="12046" width="19.140625" customWidth="1"/>
    <col min="12289" max="12290" width="13.5703125" customWidth="1"/>
    <col min="12291" max="12291" width="15.28515625" customWidth="1"/>
    <col min="12292" max="12292" width="15.42578125" customWidth="1"/>
    <col min="12293" max="12293" width="16.5703125" customWidth="1"/>
    <col min="12295" max="12295" width="14.85546875" customWidth="1"/>
    <col min="12296" max="12297" width="15" customWidth="1"/>
    <col min="12298" max="12298" width="14.140625" customWidth="1"/>
    <col min="12301" max="12301" width="15.85546875" customWidth="1"/>
    <col min="12302" max="12302" width="19.140625" customWidth="1"/>
    <col min="12545" max="12546" width="13.5703125" customWidth="1"/>
    <col min="12547" max="12547" width="15.28515625" customWidth="1"/>
    <col min="12548" max="12548" width="15.42578125" customWidth="1"/>
    <col min="12549" max="12549" width="16.5703125" customWidth="1"/>
    <col min="12551" max="12551" width="14.85546875" customWidth="1"/>
    <col min="12552" max="12553" width="15" customWidth="1"/>
    <col min="12554" max="12554" width="14.140625" customWidth="1"/>
    <col min="12557" max="12557" width="15.85546875" customWidth="1"/>
    <col min="12558" max="12558" width="19.140625" customWidth="1"/>
    <col min="12801" max="12802" width="13.5703125" customWidth="1"/>
    <col min="12803" max="12803" width="15.28515625" customWidth="1"/>
    <col min="12804" max="12804" width="15.42578125" customWidth="1"/>
    <col min="12805" max="12805" width="16.5703125" customWidth="1"/>
    <col min="12807" max="12807" width="14.85546875" customWidth="1"/>
    <col min="12808" max="12809" width="15" customWidth="1"/>
    <col min="12810" max="12810" width="14.140625" customWidth="1"/>
    <col min="12813" max="12813" width="15.85546875" customWidth="1"/>
    <col min="12814" max="12814" width="19.140625" customWidth="1"/>
    <col min="13057" max="13058" width="13.5703125" customWidth="1"/>
    <col min="13059" max="13059" width="15.28515625" customWidth="1"/>
    <col min="13060" max="13060" width="15.42578125" customWidth="1"/>
    <col min="13061" max="13061" width="16.5703125" customWidth="1"/>
    <col min="13063" max="13063" width="14.85546875" customWidth="1"/>
    <col min="13064" max="13065" width="15" customWidth="1"/>
    <col min="13066" max="13066" width="14.140625" customWidth="1"/>
    <col min="13069" max="13069" width="15.85546875" customWidth="1"/>
    <col min="13070" max="13070" width="19.140625" customWidth="1"/>
    <col min="13313" max="13314" width="13.5703125" customWidth="1"/>
    <col min="13315" max="13315" width="15.28515625" customWidth="1"/>
    <col min="13316" max="13316" width="15.42578125" customWidth="1"/>
    <col min="13317" max="13317" width="16.5703125" customWidth="1"/>
    <col min="13319" max="13319" width="14.85546875" customWidth="1"/>
    <col min="13320" max="13321" width="15" customWidth="1"/>
    <col min="13322" max="13322" width="14.140625" customWidth="1"/>
    <col min="13325" max="13325" width="15.85546875" customWidth="1"/>
    <col min="13326" max="13326" width="19.140625" customWidth="1"/>
    <col min="13569" max="13570" width="13.5703125" customWidth="1"/>
    <col min="13571" max="13571" width="15.28515625" customWidth="1"/>
    <col min="13572" max="13572" width="15.42578125" customWidth="1"/>
    <col min="13573" max="13573" width="16.5703125" customWidth="1"/>
    <col min="13575" max="13575" width="14.85546875" customWidth="1"/>
    <col min="13576" max="13577" width="15" customWidth="1"/>
    <col min="13578" max="13578" width="14.140625" customWidth="1"/>
    <col min="13581" max="13581" width="15.85546875" customWidth="1"/>
    <col min="13582" max="13582" width="19.140625" customWidth="1"/>
    <col min="13825" max="13826" width="13.5703125" customWidth="1"/>
    <col min="13827" max="13827" width="15.28515625" customWidth="1"/>
    <col min="13828" max="13828" width="15.42578125" customWidth="1"/>
    <col min="13829" max="13829" width="16.5703125" customWidth="1"/>
    <col min="13831" max="13831" width="14.85546875" customWidth="1"/>
    <col min="13832" max="13833" width="15" customWidth="1"/>
    <col min="13834" max="13834" width="14.140625" customWidth="1"/>
    <col min="13837" max="13837" width="15.85546875" customWidth="1"/>
    <col min="13838" max="13838" width="19.140625" customWidth="1"/>
    <col min="14081" max="14082" width="13.5703125" customWidth="1"/>
    <col min="14083" max="14083" width="15.28515625" customWidth="1"/>
    <col min="14084" max="14084" width="15.42578125" customWidth="1"/>
    <col min="14085" max="14085" width="16.5703125" customWidth="1"/>
    <col min="14087" max="14087" width="14.85546875" customWidth="1"/>
    <col min="14088" max="14089" width="15" customWidth="1"/>
    <col min="14090" max="14090" width="14.140625" customWidth="1"/>
    <col min="14093" max="14093" width="15.85546875" customWidth="1"/>
    <col min="14094" max="14094" width="19.140625" customWidth="1"/>
    <col min="14337" max="14338" width="13.5703125" customWidth="1"/>
    <col min="14339" max="14339" width="15.28515625" customWidth="1"/>
    <col min="14340" max="14340" width="15.42578125" customWidth="1"/>
    <col min="14341" max="14341" width="16.5703125" customWidth="1"/>
    <col min="14343" max="14343" width="14.85546875" customWidth="1"/>
    <col min="14344" max="14345" width="15" customWidth="1"/>
    <col min="14346" max="14346" width="14.140625" customWidth="1"/>
    <col min="14349" max="14349" width="15.85546875" customWidth="1"/>
    <col min="14350" max="14350" width="19.140625" customWidth="1"/>
    <col min="14593" max="14594" width="13.5703125" customWidth="1"/>
    <col min="14595" max="14595" width="15.28515625" customWidth="1"/>
    <col min="14596" max="14596" width="15.42578125" customWidth="1"/>
    <col min="14597" max="14597" width="16.5703125" customWidth="1"/>
    <col min="14599" max="14599" width="14.85546875" customWidth="1"/>
    <col min="14600" max="14601" width="15" customWidth="1"/>
    <col min="14602" max="14602" width="14.140625" customWidth="1"/>
    <col min="14605" max="14605" width="15.85546875" customWidth="1"/>
    <col min="14606" max="14606" width="19.140625" customWidth="1"/>
    <col min="14849" max="14850" width="13.5703125" customWidth="1"/>
    <col min="14851" max="14851" width="15.28515625" customWidth="1"/>
    <col min="14852" max="14852" width="15.42578125" customWidth="1"/>
    <col min="14853" max="14853" width="16.5703125" customWidth="1"/>
    <col min="14855" max="14855" width="14.85546875" customWidth="1"/>
    <col min="14856" max="14857" width="15" customWidth="1"/>
    <col min="14858" max="14858" width="14.140625" customWidth="1"/>
    <col min="14861" max="14861" width="15.85546875" customWidth="1"/>
    <col min="14862" max="14862" width="19.140625" customWidth="1"/>
    <col min="15105" max="15106" width="13.5703125" customWidth="1"/>
    <col min="15107" max="15107" width="15.28515625" customWidth="1"/>
    <col min="15108" max="15108" width="15.42578125" customWidth="1"/>
    <col min="15109" max="15109" width="16.5703125" customWidth="1"/>
    <col min="15111" max="15111" width="14.85546875" customWidth="1"/>
    <col min="15112" max="15113" width="15" customWidth="1"/>
    <col min="15114" max="15114" width="14.140625" customWidth="1"/>
    <col min="15117" max="15117" width="15.85546875" customWidth="1"/>
    <col min="15118" max="15118" width="19.140625" customWidth="1"/>
    <col min="15361" max="15362" width="13.5703125" customWidth="1"/>
    <col min="15363" max="15363" width="15.28515625" customWidth="1"/>
    <col min="15364" max="15364" width="15.42578125" customWidth="1"/>
    <col min="15365" max="15365" width="16.5703125" customWidth="1"/>
    <col min="15367" max="15367" width="14.85546875" customWidth="1"/>
    <col min="15368" max="15369" width="15" customWidth="1"/>
    <col min="15370" max="15370" width="14.140625" customWidth="1"/>
    <col min="15373" max="15373" width="15.85546875" customWidth="1"/>
    <col min="15374" max="15374" width="19.140625" customWidth="1"/>
    <col min="15617" max="15618" width="13.5703125" customWidth="1"/>
    <col min="15619" max="15619" width="15.28515625" customWidth="1"/>
    <col min="15620" max="15620" width="15.42578125" customWidth="1"/>
    <col min="15621" max="15621" width="16.5703125" customWidth="1"/>
    <col min="15623" max="15623" width="14.85546875" customWidth="1"/>
    <col min="15624" max="15625" width="15" customWidth="1"/>
    <col min="15626" max="15626" width="14.140625" customWidth="1"/>
    <col min="15629" max="15629" width="15.85546875" customWidth="1"/>
    <col min="15630" max="15630" width="19.140625" customWidth="1"/>
    <col min="15873" max="15874" width="13.5703125" customWidth="1"/>
    <col min="15875" max="15875" width="15.28515625" customWidth="1"/>
    <col min="15876" max="15876" width="15.42578125" customWidth="1"/>
    <col min="15877" max="15877" width="16.5703125" customWidth="1"/>
    <col min="15879" max="15879" width="14.85546875" customWidth="1"/>
    <col min="15880" max="15881" width="15" customWidth="1"/>
    <col min="15882" max="15882" width="14.140625" customWidth="1"/>
    <col min="15885" max="15885" width="15.85546875" customWidth="1"/>
    <col min="15886" max="15886" width="19.140625" customWidth="1"/>
    <col min="16129" max="16130" width="13.5703125" customWidth="1"/>
    <col min="16131" max="16131" width="15.28515625" customWidth="1"/>
    <col min="16132" max="16132" width="15.42578125" customWidth="1"/>
    <col min="16133" max="16133" width="16.5703125" customWidth="1"/>
    <col min="16135" max="16135" width="14.85546875" customWidth="1"/>
    <col min="16136" max="16137" width="15" customWidth="1"/>
    <col min="16138" max="16138" width="14.140625" customWidth="1"/>
    <col min="16141" max="16141" width="15.85546875" customWidth="1"/>
    <col min="16142" max="16142" width="19.140625" customWidth="1"/>
  </cols>
  <sheetData>
    <row r="1" spans="1:14" ht="63">
      <c r="A1" s="85" t="s">
        <v>77</v>
      </c>
      <c r="B1" s="85" t="s">
        <v>0</v>
      </c>
      <c r="C1" s="85" t="s">
        <v>1</v>
      </c>
      <c r="D1" s="85" t="s">
        <v>78</v>
      </c>
      <c r="E1" s="85" t="s">
        <v>4</v>
      </c>
      <c r="F1" s="85" t="s">
        <v>5</v>
      </c>
      <c r="G1" s="86" t="s">
        <v>79</v>
      </c>
      <c r="H1" s="86" t="s">
        <v>80</v>
      </c>
      <c r="I1" s="86" t="s">
        <v>81</v>
      </c>
      <c r="J1" s="85" t="s">
        <v>82</v>
      </c>
      <c r="K1" s="87" t="s">
        <v>27</v>
      </c>
      <c r="L1" s="87" t="s">
        <v>28</v>
      </c>
      <c r="M1" s="87" t="s">
        <v>83</v>
      </c>
      <c r="N1" s="85" t="s">
        <v>7</v>
      </c>
    </row>
    <row r="2" spans="1:14" ht="45">
      <c r="A2" s="1" t="s">
        <v>208</v>
      </c>
      <c r="B2" s="1" t="s">
        <v>209</v>
      </c>
      <c r="C2" s="1" t="s">
        <v>10</v>
      </c>
      <c r="D2" s="1" t="s">
        <v>210</v>
      </c>
      <c r="E2" s="1">
        <v>9813</v>
      </c>
      <c r="F2" s="1" t="s">
        <v>100</v>
      </c>
      <c r="G2" s="2">
        <v>15000</v>
      </c>
      <c r="H2" s="2" t="s">
        <v>211</v>
      </c>
      <c r="I2" s="2">
        <v>87646</v>
      </c>
      <c r="J2" s="3" t="s">
        <v>212</v>
      </c>
      <c r="K2" s="88" t="s">
        <v>213</v>
      </c>
      <c r="L2" s="88" t="s">
        <v>214</v>
      </c>
      <c r="M2" s="88" t="s">
        <v>103</v>
      </c>
      <c r="N2" s="1"/>
    </row>
    <row r="3" spans="1:14" ht="45">
      <c r="A3" s="1"/>
      <c r="B3" s="1"/>
      <c r="D3" s="1" t="s">
        <v>215</v>
      </c>
      <c r="E3" s="1"/>
      <c r="F3" s="1"/>
      <c r="G3" s="2"/>
      <c r="H3" s="2"/>
      <c r="I3" s="2">
        <v>199920</v>
      </c>
      <c r="J3" s="3"/>
      <c r="K3" s="11"/>
      <c r="L3" s="11"/>
      <c r="M3" s="11"/>
      <c r="N3" s="1"/>
    </row>
    <row r="4" spans="1:14">
      <c r="A4" s="1"/>
      <c r="B4" s="1"/>
      <c r="C4" s="1"/>
      <c r="D4" s="1"/>
      <c r="E4" s="1"/>
      <c r="F4" s="1"/>
      <c r="G4" s="2"/>
      <c r="H4" s="2"/>
      <c r="I4" s="227">
        <f>SUM(I2:I3)</f>
        <v>287566</v>
      </c>
      <c r="J4" s="3"/>
      <c r="K4" s="11"/>
      <c r="L4" s="11"/>
      <c r="M4" s="11"/>
      <c r="N4" s="1"/>
    </row>
    <row r="5" spans="1:14">
      <c r="A5" s="1"/>
      <c r="B5" s="1"/>
      <c r="C5" s="1"/>
      <c r="D5" s="1"/>
      <c r="E5" s="89"/>
      <c r="F5" s="1"/>
      <c r="G5" s="2"/>
      <c r="H5" s="2"/>
      <c r="I5" s="2"/>
      <c r="J5" s="3"/>
      <c r="K5" s="11"/>
      <c r="L5" s="11"/>
      <c r="M5" s="11"/>
      <c r="N5" s="1"/>
    </row>
    <row r="6" spans="1:14">
      <c r="A6" s="5"/>
      <c r="B6" s="5"/>
      <c r="C6" s="5"/>
      <c r="D6" s="5"/>
      <c r="E6" s="6"/>
      <c r="F6" s="7"/>
      <c r="G6" s="7"/>
      <c r="H6" s="5"/>
      <c r="I6" s="5"/>
      <c r="J6" s="9"/>
      <c r="N6" s="8"/>
    </row>
    <row r="7" spans="1:14">
      <c r="J7">
        <f>+H2*1000/G2/365</f>
        <v>1.4135360730593607</v>
      </c>
    </row>
  </sheetData>
  <pageMargins left="0.7" right="0.7" top="0.75" bottom="0.75" header="0.3" footer="0.3"/>
  <pageSetup paperSize="9" orientation="portrait" verticalDpi="0" r:id="rId1"/>
  <legacyDrawing r:id="rId2"/>
</worksheet>
</file>

<file path=xl/worksheets/sheet32.xml><?xml version="1.0" encoding="utf-8"?>
<worksheet xmlns="http://schemas.openxmlformats.org/spreadsheetml/2006/main" xmlns:r="http://schemas.openxmlformats.org/officeDocument/2006/relationships">
  <sheetPr>
    <tabColor theme="9" tint="-0.249977111117893"/>
  </sheetPr>
  <dimension ref="A1:N12"/>
  <sheetViews>
    <sheetView zoomScale="90" zoomScaleNormal="90" workbookViewId="0">
      <pane ySplit="1" topLeftCell="A2" activePane="bottomLeft" state="frozen"/>
      <selection activeCell="J8" sqref="J8"/>
      <selection pane="bottomLeft" activeCell="A2" sqref="A2:M3"/>
    </sheetView>
  </sheetViews>
  <sheetFormatPr baseColWidth="10" defaultRowHeight="15"/>
  <cols>
    <col min="1" max="2" width="13.5703125" customWidth="1"/>
    <col min="3" max="3" width="15.28515625" customWidth="1"/>
    <col min="4" max="4" width="15.42578125" customWidth="1"/>
    <col min="5" max="5" width="16.5703125" customWidth="1"/>
    <col min="7" max="7" width="14.85546875" customWidth="1"/>
    <col min="8" max="9" width="15" customWidth="1"/>
    <col min="10" max="10" width="14.140625" customWidth="1"/>
    <col min="11" max="11" width="14.85546875" customWidth="1"/>
    <col min="12" max="12" width="12.5703125" customWidth="1"/>
    <col min="13" max="13" width="15.85546875" customWidth="1"/>
    <col min="14" max="14" width="19.140625" customWidth="1"/>
    <col min="257" max="258" width="13.5703125" customWidth="1"/>
    <col min="259" max="259" width="15.28515625" customWidth="1"/>
    <col min="260" max="260" width="15.42578125" customWidth="1"/>
    <col min="261" max="261" width="16.5703125" customWidth="1"/>
    <col min="263" max="263" width="14.85546875" customWidth="1"/>
    <col min="264" max="265" width="15" customWidth="1"/>
    <col min="266" max="266" width="14.140625" customWidth="1"/>
    <col min="267" max="267" width="14.85546875" customWidth="1"/>
    <col min="268" max="268" width="12.5703125" customWidth="1"/>
    <col min="269" max="269" width="15.85546875" customWidth="1"/>
    <col min="270" max="270" width="19.140625" customWidth="1"/>
    <col min="513" max="514" width="13.5703125" customWidth="1"/>
    <col min="515" max="515" width="15.28515625" customWidth="1"/>
    <col min="516" max="516" width="15.42578125" customWidth="1"/>
    <col min="517" max="517" width="16.5703125" customWidth="1"/>
    <col min="519" max="519" width="14.85546875" customWidth="1"/>
    <col min="520" max="521" width="15" customWidth="1"/>
    <col min="522" max="522" width="14.140625" customWidth="1"/>
    <col min="523" max="523" width="14.85546875" customWidth="1"/>
    <col min="524" max="524" width="12.5703125" customWidth="1"/>
    <col min="525" max="525" width="15.85546875" customWidth="1"/>
    <col min="526" max="526" width="19.140625" customWidth="1"/>
    <col min="769" max="770" width="13.5703125" customWidth="1"/>
    <col min="771" max="771" width="15.28515625" customWidth="1"/>
    <col min="772" max="772" width="15.42578125" customWidth="1"/>
    <col min="773" max="773" width="16.5703125" customWidth="1"/>
    <col min="775" max="775" width="14.85546875" customWidth="1"/>
    <col min="776" max="777" width="15" customWidth="1"/>
    <col min="778" max="778" width="14.140625" customWidth="1"/>
    <col min="779" max="779" width="14.85546875" customWidth="1"/>
    <col min="780" max="780" width="12.5703125" customWidth="1"/>
    <col min="781" max="781" width="15.85546875" customWidth="1"/>
    <col min="782" max="782" width="19.140625" customWidth="1"/>
    <col min="1025" max="1026" width="13.5703125" customWidth="1"/>
    <col min="1027" max="1027" width="15.28515625" customWidth="1"/>
    <col min="1028" max="1028" width="15.42578125" customWidth="1"/>
    <col min="1029" max="1029" width="16.5703125" customWidth="1"/>
    <col min="1031" max="1031" width="14.85546875" customWidth="1"/>
    <col min="1032" max="1033" width="15" customWidth="1"/>
    <col min="1034" max="1034" width="14.140625" customWidth="1"/>
    <col min="1035" max="1035" width="14.85546875" customWidth="1"/>
    <col min="1036" max="1036" width="12.5703125" customWidth="1"/>
    <col min="1037" max="1037" width="15.85546875" customWidth="1"/>
    <col min="1038" max="1038" width="19.140625" customWidth="1"/>
    <col min="1281" max="1282" width="13.5703125" customWidth="1"/>
    <col min="1283" max="1283" width="15.28515625" customWidth="1"/>
    <col min="1284" max="1284" width="15.42578125" customWidth="1"/>
    <col min="1285" max="1285" width="16.5703125" customWidth="1"/>
    <col min="1287" max="1287" width="14.85546875" customWidth="1"/>
    <col min="1288" max="1289" width="15" customWidth="1"/>
    <col min="1290" max="1290" width="14.140625" customWidth="1"/>
    <col min="1291" max="1291" width="14.85546875" customWidth="1"/>
    <col min="1292" max="1292" width="12.5703125" customWidth="1"/>
    <col min="1293" max="1293" width="15.85546875" customWidth="1"/>
    <col min="1294" max="1294" width="19.140625" customWidth="1"/>
    <col min="1537" max="1538" width="13.5703125" customWidth="1"/>
    <col min="1539" max="1539" width="15.28515625" customWidth="1"/>
    <col min="1540" max="1540" width="15.42578125" customWidth="1"/>
    <col min="1541" max="1541" width="16.5703125" customWidth="1"/>
    <col min="1543" max="1543" width="14.85546875" customWidth="1"/>
    <col min="1544" max="1545" width="15" customWidth="1"/>
    <col min="1546" max="1546" width="14.140625" customWidth="1"/>
    <col min="1547" max="1547" width="14.85546875" customWidth="1"/>
    <col min="1548" max="1548" width="12.5703125" customWidth="1"/>
    <col min="1549" max="1549" width="15.85546875" customWidth="1"/>
    <col min="1550" max="1550" width="19.140625" customWidth="1"/>
    <col min="1793" max="1794" width="13.5703125" customWidth="1"/>
    <col min="1795" max="1795" width="15.28515625" customWidth="1"/>
    <col min="1796" max="1796" width="15.42578125" customWidth="1"/>
    <col min="1797" max="1797" width="16.5703125" customWidth="1"/>
    <col min="1799" max="1799" width="14.85546875" customWidth="1"/>
    <col min="1800" max="1801" width="15" customWidth="1"/>
    <col min="1802" max="1802" width="14.140625" customWidth="1"/>
    <col min="1803" max="1803" width="14.85546875" customWidth="1"/>
    <col min="1804" max="1804" width="12.5703125" customWidth="1"/>
    <col min="1805" max="1805" width="15.85546875" customWidth="1"/>
    <col min="1806" max="1806" width="19.140625" customWidth="1"/>
    <col min="2049" max="2050" width="13.5703125" customWidth="1"/>
    <col min="2051" max="2051" width="15.28515625" customWidth="1"/>
    <col min="2052" max="2052" width="15.42578125" customWidth="1"/>
    <col min="2053" max="2053" width="16.5703125" customWidth="1"/>
    <col min="2055" max="2055" width="14.85546875" customWidth="1"/>
    <col min="2056" max="2057" width="15" customWidth="1"/>
    <col min="2058" max="2058" width="14.140625" customWidth="1"/>
    <col min="2059" max="2059" width="14.85546875" customWidth="1"/>
    <col min="2060" max="2060" width="12.5703125" customWidth="1"/>
    <col min="2061" max="2061" width="15.85546875" customWidth="1"/>
    <col min="2062" max="2062" width="19.140625" customWidth="1"/>
    <col min="2305" max="2306" width="13.5703125" customWidth="1"/>
    <col min="2307" max="2307" width="15.28515625" customWidth="1"/>
    <col min="2308" max="2308" width="15.42578125" customWidth="1"/>
    <col min="2309" max="2309" width="16.5703125" customWidth="1"/>
    <col min="2311" max="2311" width="14.85546875" customWidth="1"/>
    <col min="2312" max="2313" width="15" customWidth="1"/>
    <col min="2314" max="2314" width="14.140625" customWidth="1"/>
    <col min="2315" max="2315" width="14.85546875" customWidth="1"/>
    <col min="2316" max="2316" width="12.5703125" customWidth="1"/>
    <col min="2317" max="2317" width="15.85546875" customWidth="1"/>
    <col min="2318" max="2318" width="19.140625" customWidth="1"/>
    <col min="2561" max="2562" width="13.5703125" customWidth="1"/>
    <col min="2563" max="2563" width="15.28515625" customWidth="1"/>
    <col min="2564" max="2564" width="15.42578125" customWidth="1"/>
    <col min="2565" max="2565" width="16.5703125" customWidth="1"/>
    <col min="2567" max="2567" width="14.85546875" customWidth="1"/>
    <col min="2568" max="2569" width="15" customWidth="1"/>
    <col min="2570" max="2570" width="14.140625" customWidth="1"/>
    <col min="2571" max="2571" width="14.85546875" customWidth="1"/>
    <col min="2572" max="2572" width="12.5703125" customWidth="1"/>
    <col min="2573" max="2573" width="15.85546875" customWidth="1"/>
    <col min="2574" max="2574" width="19.140625" customWidth="1"/>
    <col min="2817" max="2818" width="13.5703125" customWidth="1"/>
    <col min="2819" max="2819" width="15.28515625" customWidth="1"/>
    <col min="2820" max="2820" width="15.42578125" customWidth="1"/>
    <col min="2821" max="2821" width="16.5703125" customWidth="1"/>
    <col min="2823" max="2823" width="14.85546875" customWidth="1"/>
    <col min="2824" max="2825" width="15" customWidth="1"/>
    <col min="2826" max="2826" width="14.140625" customWidth="1"/>
    <col min="2827" max="2827" width="14.85546875" customWidth="1"/>
    <col min="2828" max="2828" width="12.5703125" customWidth="1"/>
    <col min="2829" max="2829" width="15.85546875" customWidth="1"/>
    <col min="2830" max="2830" width="19.140625" customWidth="1"/>
    <col min="3073" max="3074" width="13.5703125" customWidth="1"/>
    <col min="3075" max="3075" width="15.28515625" customWidth="1"/>
    <col min="3076" max="3076" width="15.42578125" customWidth="1"/>
    <col min="3077" max="3077" width="16.5703125" customWidth="1"/>
    <col min="3079" max="3079" width="14.85546875" customWidth="1"/>
    <col min="3080" max="3081" width="15" customWidth="1"/>
    <col min="3082" max="3082" width="14.140625" customWidth="1"/>
    <col min="3083" max="3083" width="14.85546875" customWidth="1"/>
    <col min="3084" max="3084" width="12.5703125" customWidth="1"/>
    <col min="3085" max="3085" width="15.85546875" customWidth="1"/>
    <col min="3086" max="3086" width="19.140625" customWidth="1"/>
    <col min="3329" max="3330" width="13.5703125" customWidth="1"/>
    <col min="3331" max="3331" width="15.28515625" customWidth="1"/>
    <col min="3332" max="3332" width="15.42578125" customWidth="1"/>
    <col min="3333" max="3333" width="16.5703125" customWidth="1"/>
    <col min="3335" max="3335" width="14.85546875" customWidth="1"/>
    <col min="3336" max="3337" width="15" customWidth="1"/>
    <col min="3338" max="3338" width="14.140625" customWidth="1"/>
    <col min="3339" max="3339" width="14.85546875" customWidth="1"/>
    <col min="3340" max="3340" width="12.5703125" customWidth="1"/>
    <col min="3341" max="3341" width="15.85546875" customWidth="1"/>
    <col min="3342" max="3342" width="19.140625" customWidth="1"/>
    <col min="3585" max="3586" width="13.5703125" customWidth="1"/>
    <col min="3587" max="3587" width="15.28515625" customWidth="1"/>
    <col min="3588" max="3588" width="15.42578125" customWidth="1"/>
    <col min="3589" max="3589" width="16.5703125" customWidth="1"/>
    <col min="3591" max="3591" width="14.85546875" customWidth="1"/>
    <col min="3592" max="3593" width="15" customWidth="1"/>
    <col min="3594" max="3594" width="14.140625" customWidth="1"/>
    <col min="3595" max="3595" width="14.85546875" customWidth="1"/>
    <col min="3596" max="3596" width="12.5703125" customWidth="1"/>
    <col min="3597" max="3597" width="15.85546875" customWidth="1"/>
    <col min="3598" max="3598" width="19.140625" customWidth="1"/>
    <col min="3841" max="3842" width="13.5703125" customWidth="1"/>
    <col min="3843" max="3843" width="15.28515625" customWidth="1"/>
    <col min="3844" max="3844" width="15.42578125" customWidth="1"/>
    <col min="3845" max="3845" width="16.5703125" customWidth="1"/>
    <col min="3847" max="3847" width="14.85546875" customWidth="1"/>
    <col min="3848" max="3849" width="15" customWidth="1"/>
    <col min="3850" max="3850" width="14.140625" customWidth="1"/>
    <col min="3851" max="3851" width="14.85546875" customWidth="1"/>
    <col min="3852" max="3852" width="12.5703125" customWidth="1"/>
    <col min="3853" max="3853" width="15.85546875" customWidth="1"/>
    <col min="3854" max="3854" width="19.140625" customWidth="1"/>
    <col min="4097" max="4098" width="13.5703125" customWidth="1"/>
    <col min="4099" max="4099" width="15.28515625" customWidth="1"/>
    <col min="4100" max="4100" width="15.42578125" customWidth="1"/>
    <col min="4101" max="4101" width="16.5703125" customWidth="1"/>
    <col min="4103" max="4103" width="14.85546875" customWidth="1"/>
    <col min="4104" max="4105" width="15" customWidth="1"/>
    <col min="4106" max="4106" width="14.140625" customWidth="1"/>
    <col min="4107" max="4107" width="14.85546875" customWidth="1"/>
    <col min="4108" max="4108" width="12.5703125" customWidth="1"/>
    <col min="4109" max="4109" width="15.85546875" customWidth="1"/>
    <col min="4110" max="4110" width="19.140625" customWidth="1"/>
    <col min="4353" max="4354" width="13.5703125" customWidth="1"/>
    <col min="4355" max="4355" width="15.28515625" customWidth="1"/>
    <col min="4356" max="4356" width="15.42578125" customWidth="1"/>
    <col min="4357" max="4357" width="16.5703125" customWidth="1"/>
    <col min="4359" max="4359" width="14.85546875" customWidth="1"/>
    <col min="4360" max="4361" width="15" customWidth="1"/>
    <col min="4362" max="4362" width="14.140625" customWidth="1"/>
    <col min="4363" max="4363" width="14.85546875" customWidth="1"/>
    <col min="4364" max="4364" width="12.5703125" customWidth="1"/>
    <col min="4365" max="4365" width="15.85546875" customWidth="1"/>
    <col min="4366" max="4366" width="19.140625" customWidth="1"/>
    <col min="4609" max="4610" width="13.5703125" customWidth="1"/>
    <col min="4611" max="4611" width="15.28515625" customWidth="1"/>
    <col min="4612" max="4612" width="15.42578125" customWidth="1"/>
    <col min="4613" max="4613" width="16.5703125" customWidth="1"/>
    <col min="4615" max="4615" width="14.85546875" customWidth="1"/>
    <col min="4616" max="4617" width="15" customWidth="1"/>
    <col min="4618" max="4618" width="14.140625" customWidth="1"/>
    <col min="4619" max="4619" width="14.85546875" customWidth="1"/>
    <col min="4620" max="4620" width="12.5703125" customWidth="1"/>
    <col min="4621" max="4621" width="15.85546875" customWidth="1"/>
    <col min="4622" max="4622" width="19.140625" customWidth="1"/>
    <col min="4865" max="4866" width="13.5703125" customWidth="1"/>
    <col min="4867" max="4867" width="15.28515625" customWidth="1"/>
    <col min="4868" max="4868" width="15.42578125" customWidth="1"/>
    <col min="4869" max="4869" width="16.5703125" customWidth="1"/>
    <col min="4871" max="4871" width="14.85546875" customWidth="1"/>
    <col min="4872" max="4873" width="15" customWidth="1"/>
    <col min="4874" max="4874" width="14.140625" customWidth="1"/>
    <col min="4875" max="4875" width="14.85546875" customWidth="1"/>
    <col min="4876" max="4876" width="12.5703125" customWidth="1"/>
    <col min="4877" max="4877" width="15.85546875" customWidth="1"/>
    <col min="4878" max="4878" width="19.140625" customWidth="1"/>
    <col min="5121" max="5122" width="13.5703125" customWidth="1"/>
    <col min="5123" max="5123" width="15.28515625" customWidth="1"/>
    <col min="5124" max="5124" width="15.42578125" customWidth="1"/>
    <col min="5125" max="5125" width="16.5703125" customWidth="1"/>
    <col min="5127" max="5127" width="14.85546875" customWidth="1"/>
    <col min="5128" max="5129" width="15" customWidth="1"/>
    <col min="5130" max="5130" width="14.140625" customWidth="1"/>
    <col min="5131" max="5131" width="14.85546875" customWidth="1"/>
    <col min="5132" max="5132" width="12.5703125" customWidth="1"/>
    <col min="5133" max="5133" width="15.85546875" customWidth="1"/>
    <col min="5134" max="5134" width="19.140625" customWidth="1"/>
    <col min="5377" max="5378" width="13.5703125" customWidth="1"/>
    <col min="5379" max="5379" width="15.28515625" customWidth="1"/>
    <col min="5380" max="5380" width="15.42578125" customWidth="1"/>
    <col min="5381" max="5381" width="16.5703125" customWidth="1"/>
    <col min="5383" max="5383" width="14.85546875" customWidth="1"/>
    <col min="5384" max="5385" width="15" customWidth="1"/>
    <col min="5386" max="5386" width="14.140625" customWidth="1"/>
    <col min="5387" max="5387" width="14.85546875" customWidth="1"/>
    <col min="5388" max="5388" width="12.5703125" customWidth="1"/>
    <col min="5389" max="5389" width="15.85546875" customWidth="1"/>
    <col min="5390" max="5390" width="19.140625" customWidth="1"/>
    <col min="5633" max="5634" width="13.5703125" customWidth="1"/>
    <col min="5635" max="5635" width="15.28515625" customWidth="1"/>
    <col min="5636" max="5636" width="15.42578125" customWidth="1"/>
    <col min="5637" max="5637" width="16.5703125" customWidth="1"/>
    <col min="5639" max="5639" width="14.85546875" customWidth="1"/>
    <col min="5640" max="5641" width="15" customWidth="1"/>
    <col min="5642" max="5642" width="14.140625" customWidth="1"/>
    <col min="5643" max="5643" width="14.85546875" customWidth="1"/>
    <col min="5644" max="5644" width="12.5703125" customWidth="1"/>
    <col min="5645" max="5645" width="15.85546875" customWidth="1"/>
    <col min="5646" max="5646" width="19.140625" customWidth="1"/>
    <col min="5889" max="5890" width="13.5703125" customWidth="1"/>
    <col min="5891" max="5891" width="15.28515625" customWidth="1"/>
    <col min="5892" max="5892" width="15.42578125" customWidth="1"/>
    <col min="5893" max="5893" width="16.5703125" customWidth="1"/>
    <col min="5895" max="5895" width="14.85546875" customWidth="1"/>
    <col min="5896" max="5897" width="15" customWidth="1"/>
    <col min="5898" max="5898" width="14.140625" customWidth="1"/>
    <col min="5899" max="5899" width="14.85546875" customWidth="1"/>
    <col min="5900" max="5900" width="12.5703125" customWidth="1"/>
    <col min="5901" max="5901" width="15.85546875" customWidth="1"/>
    <col min="5902" max="5902" width="19.140625" customWidth="1"/>
    <col min="6145" max="6146" width="13.5703125" customWidth="1"/>
    <col min="6147" max="6147" width="15.28515625" customWidth="1"/>
    <col min="6148" max="6148" width="15.42578125" customWidth="1"/>
    <col min="6149" max="6149" width="16.5703125" customWidth="1"/>
    <col min="6151" max="6151" width="14.85546875" customWidth="1"/>
    <col min="6152" max="6153" width="15" customWidth="1"/>
    <col min="6154" max="6154" width="14.140625" customWidth="1"/>
    <col min="6155" max="6155" width="14.85546875" customWidth="1"/>
    <col min="6156" max="6156" width="12.5703125" customWidth="1"/>
    <col min="6157" max="6157" width="15.85546875" customWidth="1"/>
    <col min="6158" max="6158" width="19.140625" customWidth="1"/>
    <col min="6401" max="6402" width="13.5703125" customWidth="1"/>
    <col min="6403" max="6403" width="15.28515625" customWidth="1"/>
    <col min="6404" max="6404" width="15.42578125" customWidth="1"/>
    <col min="6405" max="6405" width="16.5703125" customWidth="1"/>
    <col min="6407" max="6407" width="14.85546875" customWidth="1"/>
    <col min="6408" max="6409" width="15" customWidth="1"/>
    <col min="6410" max="6410" width="14.140625" customWidth="1"/>
    <col min="6411" max="6411" width="14.85546875" customWidth="1"/>
    <col min="6412" max="6412" width="12.5703125" customWidth="1"/>
    <col min="6413" max="6413" width="15.85546875" customWidth="1"/>
    <col min="6414" max="6414" width="19.140625" customWidth="1"/>
    <col min="6657" max="6658" width="13.5703125" customWidth="1"/>
    <col min="6659" max="6659" width="15.28515625" customWidth="1"/>
    <col min="6660" max="6660" width="15.42578125" customWidth="1"/>
    <col min="6661" max="6661" width="16.5703125" customWidth="1"/>
    <col min="6663" max="6663" width="14.85546875" customWidth="1"/>
    <col min="6664" max="6665" width="15" customWidth="1"/>
    <col min="6666" max="6666" width="14.140625" customWidth="1"/>
    <col min="6667" max="6667" width="14.85546875" customWidth="1"/>
    <col min="6668" max="6668" width="12.5703125" customWidth="1"/>
    <col min="6669" max="6669" width="15.85546875" customWidth="1"/>
    <col min="6670" max="6670" width="19.140625" customWidth="1"/>
    <col min="6913" max="6914" width="13.5703125" customWidth="1"/>
    <col min="6915" max="6915" width="15.28515625" customWidth="1"/>
    <col min="6916" max="6916" width="15.42578125" customWidth="1"/>
    <col min="6917" max="6917" width="16.5703125" customWidth="1"/>
    <col min="6919" max="6919" width="14.85546875" customWidth="1"/>
    <col min="6920" max="6921" width="15" customWidth="1"/>
    <col min="6922" max="6922" width="14.140625" customWidth="1"/>
    <col min="6923" max="6923" width="14.85546875" customWidth="1"/>
    <col min="6924" max="6924" width="12.5703125" customWidth="1"/>
    <col min="6925" max="6925" width="15.85546875" customWidth="1"/>
    <col min="6926" max="6926" width="19.140625" customWidth="1"/>
    <col min="7169" max="7170" width="13.5703125" customWidth="1"/>
    <col min="7171" max="7171" width="15.28515625" customWidth="1"/>
    <col min="7172" max="7172" width="15.42578125" customWidth="1"/>
    <col min="7173" max="7173" width="16.5703125" customWidth="1"/>
    <col min="7175" max="7175" width="14.85546875" customWidth="1"/>
    <col min="7176" max="7177" width="15" customWidth="1"/>
    <col min="7178" max="7178" width="14.140625" customWidth="1"/>
    <col min="7179" max="7179" width="14.85546875" customWidth="1"/>
    <col min="7180" max="7180" width="12.5703125" customWidth="1"/>
    <col min="7181" max="7181" width="15.85546875" customWidth="1"/>
    <col min="7182" max="7182" width="19.140625" customWidth="1"/>
    <col min="7425" max="7426" width="13.5703125" customWidth="1"/>
    <col min="7427" max="7427" width="15.28515625" customWidth="1"/>
    <col min="7428" max="7428" width="15.42578125" customWidth="1"/>
    <col min="7429" max="7429" width="16.5703125" customWidth="1"/>
    <col min="7431" max="7431" width="14.85546875" customWidth="1"/>
    <col min="7432" max="7433" width="15" customWidth="1"/>
    <col min="7434" max="7434" width="14.140625" customWidth="1"/>
    <col min="7435" max="7435" width="14.85546875" customWidth="1"/>
    <col min="7436" max="7436" width="12.5703125" customWidth="1"/>
    <col min="7437" max="7437" width="15.85546875" customWidth="1"/>
    <col min="7438" max="7438" width="19.140625" customWidth="1"/>
    <col min="7681" max="7682" width="13.5703125" customWidth="1"/>
    <col min="7683" max="7683" width="15.28515625" customWidth="1"/>
    <col min="7684" max="7684" width="15.42578125" customWidth="1"/>
    <col min="7685" max="7685" width="16.5703125" customWidth="1"/>
    <col min="7687" max="7687" width="14.85546875" customWidth="1"/>
    <col min="7688" max="7689" width="15" customWidth="1"/>
    <col min="7690" max="7690" width="14.140625" customWidth="1"/>
    <col min="7691" max="7691" width="14.85546875" customWidth="1"/>
    <col min="7692" max="7692" width="12.5703125" customWidth="1"/>
    <col min="7693" max="7693" width="15.85546875" customWidth="1"/>
    <col min="7694" max="7694" width="19.140625" customWidth="1"/>
    <col min="7937" max="7938" width="13.5703125" customWidth="1"/>
    <col min="7939" max="7939" width="15.28515625" customWidth="1"/>
    <col min="7940" max="7940" width="15.42578125" customWidth="1"/>
    <col min="7941" max="7941" width="16.5703125" customWidth="1"/>
    <col min="7943" max="7943" width="14.85546875" customWidth="1"/>
    <col min="7944" max="7945" width="15" customWidth="1"/>
    <col min="7946" max="7946" width="14.140625" customWidth="1"/>
    <col min="7947" max="7947" width="14.85546875" customWidth="1"/>
    <col min="7948" max="7948" width="12.5703125" customWidth="1"/>
    <col min="7949" max="7949" width="15.85546875" customWidth="1"/>
    <col min="7950" max="7950" width="19.140625" customWidth="1"/>
    <col min="8193" max="8194" width="13.5703125" customWidth="1"/>
    <col min="8195" max="8195" width="15.28515625" customWidth="1"/>
    <col min="8196" max="8196" width="15.42578125" customWidth="1"/>
    <col min="8197" max="8197" width="16.5703125" customWidth="1"/>
    <col min="8199" max="8199" width="14.85546875" customWidth="1"/>
    <col min="8200" max="8201" width="15" customWidth="1"/>
    <col min="8202" max="8202" width="14.140625" customWidth="1"/>
    <col min="8203" max="8203" width="14.85546875" customWidth="1"/>
    <col min="8204" max="8204" width="12.5703125" customWidth="1"/>
    <col min="8205" max="8205" width="15.85546875" customWidth="1"/>
    <col min="8206" max="8206" width="19.140625" customWidth="1"/>
    <col min="8449" max="8450" width="13.5703125" customWidth="1"/>
    <col min="8451" max="8451" width="15.28515625" customWidth="1"/>
    <col min="8452" max="8452" width="15.42578125" customWidth="1"/>
    <col min="8453" max="8453" width="16.5703125" customWidth="1"/>
    <col min="8455" max="8455" width="14.85546875" customWidth="1"/>
    <col min="8456" max="8457" width="15" customWidth="1"/>
    <col min="8458" max="8458" width="14.140625" customWidth="1"/>
    <col min="8459" max="8459" width="14.85546875" customWidth="1"/>
    <col min="8460" max="8460" width="12.5703125" customWidth="1"/>
    <col min="8461" max="8461" width="15.85546875" customWidth="1"/>
    <col min="8462" max="8462" width="19.140625" customWidth="1"/>
    <col min="8705" max="8706" width="13.5703125" customWidth="1"/>
    <col min="8707" max="8707" width="15.28515625" customWidth="1"/>
    <col min="8708" max="8708" width="15.42578125" customWidth="1"/>
    <col min="8709" max="8709" width="16.5703125" customWidth="1"/>
    <col min="8711" max="8711" width="14.85546875" customWidth="1"/>
    <col min="8712" max="8713" width="15" customWidth="1"/>
    <col min="8714" max="8714" width="14.140625" customWidth="1"/>
    <col min="8715" max="8715" width="14.85546875" customWidth="1"/>
    <col min="8716" max="8716" width="12.5703125" customWidth="1"/>
    <col min="8717" max="8717" width="15.85546875" customWidth="1"/>
    <col min="8718" max="8718" width="19.140625" customWidth="1"/>
    <col min="8961" max="8962" width="13.5703125" customWidth="1"/>
    <col min="8963" max="8963" width="15.28515625" customWidth="1"/>
    <col min="8964" max="8964" width="15.42578125" customWidth="1"/>
    <col min="8965" max="8965" width="16.5703125" customWidth="1"/>
    <col min="8967" max="8967" width="14.85546875" customWidth="1"/>
    <col min="8968" max="8969" width="15" customWidth="1"/>
    <col min="8970" max="8970" width="14.140625" customWidth="1"/>
    <col min="8971" max="8971" width="14.85546875" customWidth="1"/>
    <col min="8972" max="8972" width="12.5703125" customWidth="1"/>
    <col min="8973" max="8973" width="15.85546875" customWidth="1"/>
    <col min="8974" max="8974" width="19.140625" customWidth="1"/>
    <col min="9217" max="9218" width="13.5703125" customWidth="1"/>
    <col min="9219" max="9219" width="15.28515625" customWidth="1"/>
    <col min="9220" max="9220" width="15.42578125" customWidth="1"/>
    <col min="9221" max="9221" width="16.5703125" customWidth="1"/>
    <col min="9223" max="9223" width="14.85546875" customWidth="1"/>
    <col min="9224" max="9225" width="15" customWidth="1"/>
    <col min="9226" max="9226" width="14.140625" customWidth="1"/>
    <col min="9227" max="9227" width="14.85546875" customWidth="1"/>
    <col min="9228" max="9228" width="12.5703125" customWidth="1"/>
    <col min="9229" max="9229" width="15.85546875" customWidth="1"/>
    <col min="9230" max="9230" width="19.140625" customWidth="1"/>
    <col min="9473" max="9474" width="13.5703125" customWidth="1"/>
    <col min="9475" max="9475" width="15.28515625" customWidth="1"/>
    <col min="9476" max="9476" width="15.42578125" customWidth="1"/>
    <col min="9477" max="9477" width="16.5703125" customWidth="1"/>
    <col min="9479" max="9479" width="14.85546875" customWidth="1"/>
    <col min="9480" max="9481" width="15" customWidth="1"/>
    <col min="9482" max="9482" width="14.140625" customWidth="1"/>
    <col min="9483" max="9483" width="14.85546875" customWidth="1"/>
    <col min="9484" max="9484" width="12.5703125" customWidth="1"/>
    <col min="9485" max="9485" width="15.85546875" customWidth="1"/>
    <col min="9486" max="9486" width="19.140625" customWidth="1"/>
    <col min="9729" max="9730" width="13.5703125" customWidth="1"/>
    <col min="9731" max="9731" width="15.28515625" customWidth="1"/>
    <col min="9732" max="9732" width="15.42578125" customWidth="1"/>
    <col min="9733" max="9733" width="16.5703125" customWidth="1"/>
    <col min="9735" max="9735" width="14.85546875" customWidth="1"/>
    <col min="9736" max="9737" width="15" customWidth="1"/>
    <col min="9738" max="9738" width="14.140625" customWidth="1"/>
    <col min="9739" max="9739" width="14.85546875" customWidth="1"/>
    <col min="9740" max="9740" width="12.5703125" customWidth="1"/>
    <col min="9741" max="9741" width="15.85546875" customWidth="1"/>
    <col min="9742" max="9742" width="19.140625" customWidth="1"/>
    <col min="9985" max="9986" width="13.5703125" customWidth="1"/>
    <col min="9987" max="9987" width="15.28515625" customWidth="1"/>
    <col min="9988" max="9988" width="15.42578125" customWidth="1"/>
    <col min="9989" max="9989" width="16.5703125" customWidth="1"/>
    <col min="9991" max="9991" width="14.85546875" customWidth="1"/>
    <col min="9992" max="9993" width="15" customWidth="1"/>
    <col min="9994" max="9994" width="14.140625" customWidth="1"/>
    <col min="9995" max="9995" width="14.85546875" customWidth="1"/>
    <col min="9996" max="9996" width="12.5703125" customWidth="1"/>
    <col min="9997" max="9997" width="15.85546875" customWidth="1"/>
    <col min="9998" max="9998" width="19.140625" customWidth="1"/>
    <col min="10241" max="10242" width="13.5703125" customWidth="1"/>
    <col min="10243" max="10243" width="15.28515625" customWidth="1"/>
    <col min="10244" max="10244" width="15.42578125" customWidth="1"/>
    <col min="10245" max="10245" width="16.5703125" customWidth="1"/>
    <col min="10247" max="10247" width="14.85546875" customWidth="1"/>
    <col min="10248" max="10249" width="15" customWidth="1"/>
    <col min="10250" max="10250" width="14.140625" customWidth="1"/>
    <col min="10251" max="10251" width="14.85546875" customWidth="1"/>
    <col min="10252" max="10252" width="12.5703125" customWidth="1"/>
    <col min="10253" max="10253" width="15.85546875" customWidth="1"/>
    <col min="10254" max="10254" width="19.140625" customWidth="1"/>
    <col min="10497" max="10498" width="13.5703125" customWidth="1"/>
    <col min="10499" max="10499" width="15.28515625" customWidth="1"/>
    <col min="10500" max="10500" width="15.42578125" customWidth="1"/>
    <col min="10501" max="10501" width="16.5703125" customWidth="1"/>
    <col min="10503" max="10503" width="14.85546875" customWidth="1"/>
    <col min="10504" max="10505" width="15" customWidth="1"/>
    <col min="10506" max="10506" width="14.140625" customWidth="1"/>
    <col min="10507" max="10507" width="14.85546875" customWidth="1"/>
    <col min="10508" max="10508" width="12.5703125" customWidth="1"/>
    <col min="10509" max="10509" width="15.85546875" customWidth="1"/>
    <col min="10510" max="10510" width="19.140625" customWidth="1"/>
    <col min="10753" max="10754" width="13.5703125" customWidth="1"/>
    <col min="10755" max="10755" width="15.28515625" customWidth="1"/>
    <col min="10756" max="10756" width="15.42578125" customWidth="1"/>
    <col min="10757" max="10757" width="16.5703125" customWidth="1"/>
    <col min="10759" max="10759" width="14.85546875" customWidth="1"/>
    <col min="10760" max="10761" width="15" customWidth="1"/>
    <col min="10762" max="10762" width="14.140625" customWidth="1"/>
    <col min="10763" max="10763" width="14.85546875" customWidth="1"/>
    <col min="10764" max="10764" width="12.5703125" customWidth="1"/>
    <col min="10765" max="10765" width="15.85546875" customWidth="1"/>
    <col min="10766" max="10766" width="19.140625" customWidth="1"/>
    <col min="11009" max="11010" width="13.5703125" customWidth="1"/>
    <col min="11011" max="11011" width="15.28515625" customWidth="1"/>
    <col min="11012" max="11012" width="15.42578125" customWidth="1"/>
    <col min="11013" max="11013" width="16.5703125" customWidth="1"/>
    <col min="11015" max="11015" width="14.85546875" customWidth="1"/>
    <col min="11016" max="11017" width="15" customWidth="1"/>
    <col min="11018" max="11018" width="14.140625" customWidth="1"/>
    <col min="11019" max="11019" width="14.85546875" customWidth="1"/>
    <col min="11020" max="11020" width="12.5703125" customWidth="1"/>
    <col min="11021" max="11021" width="15.85546875" customWidth="1"/>
    <col min="11022" max="11022" width="19.140625" customWidth="1"/>
    <col min="11265" max="11266" width="13.5703125" customWidth="1"/>
    <col min="11267" max="11267" width="15.28515625" customWidth="1"/>
    <col min="11268" max="11268" width="15.42578125" customWidth="1"/>
    <col min="11269" max="11269" width="16.5703125" customWidth="1"/>
    <col min="11271" max="11271" width="14.85546875" customWidth="1"/>
    <col min="11272" max="11273" width="15" customWidth="1"/>
    <col min="11274" max="11274" width="14.140625" customWidth="1"/>
    <col min="11275" max="11275" width="14.85546875" customWidth="1"/>
    <col min="11276" max="11276" width="12.5703125" customWidth="1"/>
    <col min="11277" max="11277" width="15.85546875" customWidth="1"/>
    <col min="11278" max="11278" width="19.140625" customWidth="1"/>
    <col min="11521" max="11522" width="13.5703125" customWidth="1"/>
    <col min="11523" max="11523" width="15.28515625" customWidth="1"/>
    <col min="11524" max="11524" width="15.42578125" customWidth="1"/>
    <col min="11525" max="11525" width="16.5703125" customWidth="1"/>
    <col min="11527" max="11527" width="14.85546875" customWidth="1"/>
    <col min="11528" max="11529" width="15" customWidth="1"/>
    <col min="11530" max="11530" width="14.140625" customWidth="1"/>
    <col min="11531" max="11531" width="14.85546875" customWidth="1"/>
    <col min="11532" max="11532" width="12.5703125" customWidth="1"/>
    <col min="11533" max="11533" width="15.85546875" customWidth="1"/>
    <col min="11534" max="11534" width="19.140625" customWidth="1"/>
    <col min="11777" max="11778" width="13.5703125" customWidth="1"/>
    <col min="11779" max="11779" width="15.28515625" customWidth="1"/>
    <col min="11780" max="11780" width="15.42578125" customWidth="1"/>
    <col min="11781" max="11781" width="16.5703125" customWidth="1"/>
    <col min="11783" max="11783" width="14.85546875" customWidth="1"/>
    <col min="11784" max="11785" width="15" customWidth="1"/>
    <col min="11786" max="11786" width="14.140625" customWidth="1"/>
    <col min="11787" max="11787" width="14.85546875" customWidth="1"/>
    <col min="11788" max="11788" width="12.5703125" customWidth="1"/>
    <col min="11789" max="11789" width="15.85546875" customWidth="1"/>
    <col min="11790" max="11790" width="19.140625" customWidth="1"/>
    <col min="12033" max="12034" width="13.5703125" customWidth="1"/>
    <col min="12035" max="12035" width="15.28515625" customWidth="1"/>
    <col min="12036" max="12036" width="15.42578125" customWidth="1"/>
    <col min="12037" max="12037" width="16.5703125" customWidth="1"/>
    <col min="12039" max="12039" width="14.85546875" customWidth="1"/>
    <col min="12040" max="12041" width="15" customWidth="1"/>
    <col min="12042" max="12042" width="14.140625" customWidth="1"/>
    <col min="12043" max="12043" width="14.85546875" customWidth="1"/>
    <col min="12044" max="12044" width="12.5703125" customWidth="1"/>
    <col min="12045" max="12045" width="15.85546875" customWidth="1"/>
    <col min="12046" max="12046" width="19.140625" customWidth="1"/>
    <col min="12289" max="12290" width="13.5703125" customWidth="1"/>
    <col min="12291" max="12291" width="15.28515625" customWidth="1"/>
    <col min="12292" max="12292" width="15.42578125" customWidth="1"/>
    <col min="12293" max="12293" width="16.5703125" customWidth="1"/>
    <col min="12295" max="12295" width="14.85546875" customWidth="1"/>
    <col min="12296" max="12297" width="15" customWidth="1"/>
    <col min="12298" max="12298" width="14.140625" customWidth="1"/>
    <col min="12299" max="12299" width="14.85546875" customWidth="1"/>
    <col min="12300" max="12300" width="12.5703125" customWidth="1"/>
    <col min="12301" max="12301" width="15.85546875" customWidth="1"/>
    <col min="12302" max="12302" width="19.140625" customWidth="1"/>
    <col min="12545" max="12546" width="13.5703125" customWidth="1"/>
    <col min="12547" max="12547" width="15.28515625" customWidth="1"/>
    <col min="12548" max="12548" width="15.42578125" customWidth="1"/>
    <col min="12549" max="12549" width="16.5703125" customWidth="1"/>
    <col min="12551" max="12551" width="14.85546875" customWidth="1"/>
    <col min="12552" max="12553" width="15" customWidth="1"/>
    <col min="12554" max="12554" width="14.140625" customWidth="1"/>
    <col min="12555" max="12555" width="14.85546875" customWidth="1"/>
    <col min="12556" max="12556" width="12.5703125" customWidth="1"/>
    <col min="12557" max="12557" width="15.85546875" customWidth="1"/>
    <col min="12558" max="12558" width="19.140625" customWidth="1"/>
    <col min="12801" max="12802" width="13.5703125" customWidth="1"/>
    <col min="12803" max="12803" width="15.28515625" customWidth="1"/>
    <col min="12804" max="12804" width="15.42578125" customWidth="1"/>
    <col min="12805" max="12805" width="16.5703125" customWidth="1"/>
    <col min="12807" max="12807" width="14.85546875" customWidth="1"/>
    <col min="12808" max="12809" width="15" customWidth="1"/>
    <col min="12810" max="12810" width="14.140625" customWidth="1"/>
    <col min="12811" max="12811" width="14.85546875" customWidth="1"/>
    <col min="12812" max="12812" width="12.5703125" customWidth="1"/>
    <col min="12813" max="12813" width="15.85546875" customWidth="1"/>
    <col min="12814" max="12814" width="19.140625" customWidth="1"/>
    <col min="13057" max="13058" width="13.5703125" customWidth="1"/>
    <col min="13059" max="13059" width="15.28515625" customWidth="1"/>
    <col min="13060" max="13060" width="15.42578125" customWidth="1"/>
    <col min="13061" max="13061" width="16.5703125" customWidth="1"/>
    <col min="13063" max="13063" width="14.85546875" customWidth="1"/>
    <col min="13064" max="13065" width="15" customWidth="1"/>
    <col min="13066" max="13066" width="14.140625" customWidth="1"/>
    <col min="13067" max="13067" width="14.85546875" customWidth="1"/>
    <col min="13068" max="13068" width="12.5703125" customWidth="1"/>
    <col min="13069" max="13069" width="15.85546875" customWidth="1"/>
    <col min="13070" max="13070" width="19.140625" customWidth="1"/>
    <col min="13313" max="13314" width="13.5703125" customWidth="1"/>
    <col min="13315" max="13315" width="15.28515625" customWidth="1"/>
    <col min="13316" max="13316" width="15.42578125" customWidth="1"/>
    <col min="13317" max="13317" width="16.5703125" customWidth="1"/>
    <col min="13319" max="13319" width="14.85546875" customWidth="1"/>
    <col min="13320" max="13321" width="15" customWidth="1"/>
    <col min="13322" max="13322" width="14.140625" customWidth="1"/>
    <col min="13323" max="13323" width="14.85546875" customWidth="1"/>
    <col min="13324" max="13324" width="12.5703125" customWidth="1"/>
    <col min="13325" max="13325" width="15.85546875" customWidth="1"/>
    <col min="13326" max="13326" width="19.140625" customWidth="1"/>
    <col min="13569" max="13570" width="13.5703125" customWidth="1"/>
    <col min="13571" max="13571" width="15.28515625" customWidth="1"/>
    <col min="13572" max="13572" width="15.42578125" customWidth="1"/>
    <col min="13573" max="13573" width="16.5703125" customWidth="1"/>
    <col min="13575" max="13575" width="14.85546875" customWidth="1"/>
    <col min="13576" max="13577" width="15" customWidth="1"/>
    <col min="13578" max="13578" width="14.140625" customWidth="1"/>
    <col min="13579" max="13579" width="14.85546875" customWidth="1"/>
    <col min="13580" max="13580" width="12.5703125" customWidth="1"/>
    <col min="13581" max="13581" width="15.85546875" customWidth="1"/>
    <col min="13582" max="13582" width="19.140625" customWidth="1"/>
    <col min="13825" max="13826" width="13.5703125" customWidth="1"/>
    <col min="13827" max="13827" width="15.28515625" customWidth="1"/>
    <col min="13828" max="13828" width="15.42578125" customWidth="1"/>
    <col min="13829" max="13829" width="16.5703125" customWidth="1"/>
    <col min="13831" max="13831" width="14.85546875" customWidth="1"/>
    <col min="13832" max="13833" width="15" customWidth="1"/>
    <col min="13834" max="13834" width="14.140625" customWidth="1"/>
    <col min="13835" max="13835" width="14.85546875" customWidth="1"/>
    <col min="13836" max="13836" width="12.5703125" customWidth="1"/>
    <col min="13837" max="13837" width="15.85546875" customWidth="1"/>
    <col min="13838" max="13838" width="19.140625" customWidth="1"/>
    <col min="14081" max="14082" width="13.5703125" customWidth="1"/>
    <col min="14083" max="14083" width="15.28515625" customWidth="1"/>
    <col min="14084" max="14084" width="15.42578125" customWidth="1"/>
    <col min="14085" max="14085" width="16.5703125" customWidth="1"/>
    <col min="14087" max="14087" width="14.85546875" customWidth="1"/>
    <col min="14088" max="14089" width="15" customWidth="1"/>
    <col min="14090" max="14090" width="14.140625" customWidth="1"/>
    <col min="14091" max="14091" width="14.85546875" customWidth="1"/>
    <col min="14092" max="14092" width="12.5703125" customWidth="1"/>
    <col min="14093" max="14093" width="15.85546875" customWidth="1"/>
    <col min="14094" max="14094" width="19.140625" customWidth="1"/>
    <col min="14337" max="14338" width="13.5703125" customWidth="1"/>
    <col min="14339" max="14339" width="15.28515625" customWidth="1"/>
    <col min="14340" max="14340" width="15.42578125" customWidth="1"/>
    <col min="14341" max="14341" width="16.5703125" customWidth="1"/>
    <col min="14343" max="14343" width="14.85546875" customWidth="1"/>
    <col min="14344" max="14345" width="15" customWidth="1"/>
    <col min="14346" max="14346" width="14.140625" customWidth="1"/>
    <col min="14347" max="14347" width="14.85546875" customWidth="1"/>
    <col min="14348" max="14348" width="12.5703125" customWidth="1"/>
    <col min="14349" max="14349" width="15.85546875" customWidth="1"/>
    <col min="14350" max="14350" width="19.140625" customWidth="1"/>
    <col min="14593" max="14594" width="13.5703125" customWidth="1"/>
    <col min="14595" max="14595" width="15.28515625" customWidth="1"/>
    <col min="14596" max="14596" width="15.42578125" customWidth="1"/>
    <col min="14597" max="14597" width="16.5703125" customWidth="1"/>
    <col min="14599" max="14599" width="14.85546875" customWidth="1"/>
    <col min="14600" max="14601" width="15" customWidth="1"/>
    <col min="14602" max="14602" width="14.140625" customWidth="1"/>
    <col min="14603" max="14603" width="14.85546875" customWidth="1"/>
    <col min="14604" max="14604" width="12.5703125" customWidth="1"/>
    <col min="14605" max="14605" width="15.85546875" customWidth="1"/>
    <col min="14606" max="14606" width="19.140625" customWidth="1"/>
    <col min="14849" max="14850" width="13.5703125" customWidth="1"/>
    <col min="14851" max="14851" width="15.28515625" customWidth="1"/>
    <col min="14852" max="14852" width="15.42578125" customWidth="1"/>
    <col min="14853" max="14853" width="16.5703125" customWidth="1"/>
    <col min="14855" max="14855" width="14.85546875" customWidth="1"/>
    <col min="14856" max="14857" width="15" customWidth="1"/>
    <col min="14858" max="14858" width="14.140625" customWidth="1"/>
    <col min="14859" max="14859" width="14.85546875" customWidth="1"/>
    <col min="14860" max="14860" width="12.5703125" customWidth="1"/>
    <col min="14861" max="14861" width="15.85546875" customWidth="1"/>
    <col min="14862" max="14862" width="19.140625" customWidth="1"/>
    <col min="15105" max="15106" width="13.5703125" customWidth="1"/>
    <col min="15107" max="15107" width="15.28515625" customWidth="1"/>
    <col min="15108" max="15108" width="15.42578125" customWidth="1"/>
    <col min="15109" max="15109" width="16.5703125" customWidth="1"/>
    <col min="15111" max="15111" width="14.85546875" customWidth="1"/>
    <col min="15112" max="15113" width="15" customWidth="1"/>
    <col min="15114" max="15114" width="14.140625" customWidth="1"/>
    <col min="15115" max="15115" width="14.85546875" customWidth="1"/>
    <col min="15116" max="15116" width="12.5703125" customWidth="1"/>
    <col min="15117" max="15117" width="15.85546875" customWidth="1"/>
    <col min="15118" max="15118" width="19.140625" customWidth="1"/>
    <col min="15361" max="15362" width="13.5703125" customWidth="1"/>
    <col min="15363" max="15363" width="15.28515625" customWidth="1"/>
    <col min="15364" max="15364" width="15.42578125" customWidth="1"/>
    <col min="15365" max="15365" width="16.5703125" customWidth="1"/>
    <col min="15367" max="15367" width="14.85546875" customWidth="1"/>
    <col min="15368" max="15369" width="15" customWidth="1"/>
    <col min="15370" max="15370" width="14.140625" customWidth="1"/>
    <col min="15371" max="15371" width="14.85546875" customWidth="1"/>
    <col min="15372" max="15372" width="12.5703125" customWidth="1"/>
    <col min="15373" max="15373" width="15.85546875" customWidth="1"/>
    <col min="15374" max="15374" width="19.140625" customWidth="1"/>
    <col min="15617" max="15618" width="13.5703125" customWidth="1"/>
    <col min="15619" max="15619" width="15.28515625" customWidth="1"/>
    <col min="15620" max="15620" width="15.42578125" customWidth="1"/>
    <col min="15621" max="15621" width="16.5703125" customWidth="1"/>
    <col min="15623" max="15623" width="14.85546875" customWidth="1"/>
    <col min="15624" max="15625" width="15" customWidth="1"/>
    <col min="15626" max="15626" width="14.140625" customWidth="1"/>
    <col min="15627" max="15627" width="14.85546875" customWidth="1"/>
    <col min="15628" max="15628" width="12.5703125" customWidth="1"/>
    <col min="15629" max="15629" width="15.85546875" customWidth="1"/>
    <col min="15630" max="15630" width="19.140625" customWidth="1"/>
    <col min="15873" max="15874" width="13.5703125" customWidth="1"/>
    <col min="15875" max="15875" width="15.28515625" customWidth="1"/>
    <col min="15876" max="15876" width="15.42578125" customWidth="1"/>
    <col min="15877" max="15877" width="16.5703125" customWidth="1"/>
    <col min="15879" max="15879" width="14.85546875" customWidth="1"/>
    <col min="15880" max="15881" width="15" customWidth="1"/>
    <col min="15882" max="15882" width="14.140625" customWidth="1"/>
    <col min="15883" max="15883" width="14.85546875" customWidth="1"/>
    <col min="15884" max="15884" width="12.5703125" customWidth="1"/>
    <col min="15885" max="15885" width="15.85546875" customWidth="1"/>
    <col min="15886" max="15886" width="19.140625" customWidth="1"/>
    <col min="16129" max="16130" width="13.5703125" customWidth="1"/>
    <col min="16131" max="16131" width="15.28515625" customWidth="1"/>
    <col min="16132" max="16132" width="15.42578125" customWidth="1"/>
    <col min="16133" max="16133" width="16.5703125" customWidth="1"/>
    <col min="16135" max="16135" width="14.85546875" customWidth="1"/>
    <col min="16136" max="16137" width="15" customWidth="1"/>
    <col min="16138" max="16138" width="14.140625" customWidth="1"/>
    <col min="16139" max="16139" width="14.85546875" customWidth="1"/>
    <col min="16140" max="16140" width="12.5703125" customWidth="1"/>
    <col min="16141" max="16141" width="15.85546875" customWidth="1"/>
    <col min="16142" max="16142" width="19.140625" customWidth="1"/>
  </cols>
  <sheetData>
    <row r="1" spans="1:14" ht="63">
      <c r="A1" s="85" t="s">
        <v>77</v>
      </c>
      <c r="B1" s="85" t="s">
        <v>0</v>
      </c>
      <c r="C1" s="85" t="s">
        <v>1</v>
      </c>
      <c r="D1" s="85" t="s">
        <v>78</v>
      </c>
      <c r="E1" s="85" t="s">
        <v>4</v>
      </c>
      <c r="F1" s="85" t="s">
        <v>5</v>
      </c>
      <c r="G1" s="86" t="s">
        <v>79</v>
      </c>
      <c r="H1" s="86" t="s">
        <v>80</v>
      </c>
      <c r="I1" s="86" t="s">
        <v>216</v>
      </c>
      <c r="J1" s="85" t="s">
        <v>82</v>
      </c>
      <c r="K1" s="87" t="s">
        <v>27</v>
      </c>
      <c r="L1" s="87" t="s">
        <v>28</v>
      </c>
      <c r="M1" s="87" t="s">
        <v>83</v>
      </c>
      <c r="N1" s="85" t="s">
        <v>7</v>
      </c>
    </row>
    <row r="2" spans="1:14" ht="30">
      <c r="A2" s="1" t="s">
        <v>217</v>
      </c>
      <c r="B2" s="1" t="s">
        <v>218</v>
      </c>
      <c r="C2" s="1" t="s">
        <v>86</v>
      </c>
      <c r="D2" s="1" t="s">
        <v>219</v>
      </c>
      <c r="E2" s="1" t="s">
        <v>220</v>
      </c>
      <c r="F2" s="1" t="s">
        <v>116</v>
      </c>
      <c r="G2" s="2">
        <v>126058</v>
      </c>
      <c r="H2" s="2">
        <v>44299</v>
      </c>
      <c r="I2" s="2">
        <v>127321</v>
      </c>
      <c r="J2" s="3">
        <f>(H2*1000)/G2/365</f>
        <v>0.96278794910018584</v>
      </c>
      <c r="K2" s="90">
        <v>6287634</v>
      </c>
      <c r="L2" s="90">
        <v>341486</v>
      </c>
      <c r="M2" s="90" t="s">
        <v>44</v>
      </c>
      <c r="N2" s="1"/>
    </row>
    <row r="3" spans="1:14" ht="30">
      <c r="A3" s="1" t="s">
        <v>217</v>
      </c>
      <c r="B3" s="1" t="s">
        <v>9</v>
      </c>
      <c r="C3" s="1" t="s">
        <v>10</v>
      </c>
      <c r="D3" s="1" t="s">
        <v>11</v>
      </c>
      <c r="E3" s="1" t="s">
        <v>221</v>
      </c>
      <c r="F3" s="1" t="s">
        <v>100</v>
      </c>
      <c r="G3" s="2">
        <v>126058</v>
      </c>
      <c r="H3" s="2">
        <v>44299</v>
      </c>
      <c r="I3" s="2">
        <v>395559</v>
      </c>
      <c r="J3" s="3">
        <f>(H3*1000)/G3/365</f>
        <v>0.96278794910018584</v>
      </c>
      <c r="K3" s="90">
        <v>6271391</v>
      </c>
      <c r="L3" s="90">
        <v>333616</v>
      </c>
      <c r="M3" s="90" t="s">
        <v>44</v>
      </c>
      <c r="N3" s="1"/>
    </row>
    <row r="4" spans="1:14">
      <c r="A4" s="1"/>
      <c r="B4" s="1"/>
      <c r="C4" s="1"/>
      <c r="D4" s="1"/>
      <c r="E4" s="1"/>
      <c r="F4" s="1"/>
      <c r="G4" s="2"/>
      <c r="H4" s="2"/>
      <c r="I4" s="227">
        <f>+I2+I3</f>
        <v>522880</v>
      </c>
      <c r="J4" s="3"/>
      <c r="K4" s="11"/>
      <c r="L4" s="11"/>
      <c r="M4" s="11"/>
      <c r="N4" s="1"/>
    </row>
    <row r="5" spans="1:14">
      <c r="A5" s="1"/>
      <c r="B5" s="1"/>
      <c r="C5" s="1"/>
      <c r="D5" s="1"/>
      <c r="E5" s="89"/>
      <c r="F5" s="1"/>
      <c r="G5" s="2"/>
      <c r="H5" s="2"/>
      <c r="I5" s="2"/>
      <c r="J5" s="3"/>
      <c r="K5" s="11"/>
      <c r="L5" s="11"/>
      <c r="M5" s="11"/>
      <c r="N5" s="1"/>
    </row>
    <row r="6" spans="1:14">
      <c r="A6" s="5"/>
      <c r="B6" s="5"/>
      <c r="C6" s="5"/>
      <c r="D6" s="5"/>
      <c r="E6" s="6"/>
      <c r="F6" s="7"/>
      <c r="G6" s="7"/>
      <c r="H6" s="5"/>
      <c r="I6" s="5"/>
      <c r="J6" s="9"/>
      <c r="N6" s="8"/>
    </row>
    <row r="7" spans="1:14">
      <c r="B7" t="s">
        <v>222</v>
      </c>
    </row>
    <row r="8" spans="1:14">
      <c r="B8" t="s">
        <v>223</v>
      </c>
    </row>
    <row r="9" spans="1:14">
      <c r="B9" t="s">
        <v>224</v>
      </c>
    </row>
    <row r="12" spans="1:14">
      <c r="J12">
        <f>+H3*1000/G3/365</f>
        <v>0.96278794910018584</v>
      </c>
    </row>
  </sheetData>
  <pageMargins left="0.7" right="0.7" top="0.75" bottom="0.75" header="0.3" footer="0.3"/>
  <pageSetup paperSize="9" orientation="portrait" horizontalDpi="0" verticalDpi="0" r:id="rId1"/>
  <legacyDrawing r:id="rId2"/>
</worksheet>
</file>

<file path=xl/worksheets/sheet33.xml><?xml version="1.0" encoding="utf-8"?>
<worksheet xmlns="http://schemas.openxmlformats.org/spreadsheetml/2006/main" xmlns:r="http://schemas.openxmlformats.org/officeDocument/2006/relationships">
  <sheetPr>
    <tabColor theme="9" tint="-0.249977111117893"/>
  </sheetPr>
  <dimension ref="A1:M2"/>
  <sheetViews>
    <sheetView workbookViewId="0">
      <selection activeCell="A2" sqref="A2:M2"/>
    </sheetView>
  </sheetViews>
  <sheetFormatPr baseColWidth="10" defaultRowHeight="15"/>
  <sheetData>
    <row r="1" spans="1:13" ht="48">
      <c r="A1" s="91" t="s">
        <v>2</v>
      </c>
      <c r="B1" s="91" t="s">
        <v>1</v>
      </c>
      <c r="C1" s="92" t="s">
        <v>78</v>
      </c>
      <c r="D1" s="91" t="s">
        <v>227</v>
      </c>
      <c r="E1" s="91" t="s">
        <v>5</v>
      </c>
      <c r="F1" s="92" t="s">
        <v>79</v>
      </c>
      <c r="G1" s="92" t="s">
        <v>80</v>
      </c>
      <c r="H1" s="91" t="s">
        <v>225</v>
      </c>
      <c r="I1" s="91" t="s">
        <v>228</v>
      </c>
      <c r="J1" s="91" t="s">
        <v>27</v>
      </c>
      <c r="K1" s="91" t="s">
        <v>28</v>
      </c>
      <c r="L1" s="91" t="s">
        <v>168</v>
      </c>
      <c r="M1" s="91" t="s">
        <v>7</v>
      </c>
    </row>
    <row r="2" spans="1:13" ht="36">
      <c r="A2" s="91" t="s">
        <v>229</v>
      </c>
      <c r="B2" s="91" t="s">
        <v>10</v>
      </c>
      <c r="C2" s="91" t="s">
        <v>11</v>
      </c>
      <c r="D2" s="91">
        <v>9813</v>
      </c>
      <c r="E2" s="91" t="s">
        <v>100</v>
      </c>
      <c r="F2" s="221">
        <v>54588</v>
      </c>
      <c r="G2" s="222">
        <v>20801</v>
      </c>
      <c r="H2" s="221">
        <v>948434</v>
      </c>
      <c r="I2" s="248">
        <f>+G2*1000/F2/365</f>
        <v>1.0439847786306589</v>
      </c>
      <c r="J2" s="91" t="s">
        <v>213</v>
      </c>
      <c r="K2" s="91" t="s">
        <v>214</v>
      </c>
      <c r="L2" s="91" t="s">
        <v>103</v>
      </c>
      <c r="M2" s="91" t="s">
        <v>226</v>
      </c>
    </row>
  </sheetData>
  <pageMargins left="0.7" right="0.7"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sheetPr>
    <tabColor theme="9" tint="-0.249977111117893"/>
  </sheetPr>
  <dimension ref="A1:N4"/>
  <sheetViews>
    <sheetView workbookViewId="0">
      <selection activeCell="A2" sqref="A2:N2"/>
    </sheetView>
  </sheetViews>
  <sheetFormatPr baseColWidth="10" defaultRowHeight="15"/>
  <cols>
    <col min="4" max="4" width="14.7109375" customWidth="1"/>
    <col min="5" max="5" width="13" customWidth="1"/>
    <col min="7" max="8" width="11.5703125" bestFit="1" customWidth="1"/>
    <col min="9" max="9" width="12.42578125" bestFit="1" customWidth="1"/>
    <col min="10" max="10" width="11.5703125" bestFit="1" customWidth="1"/>
    <col min="11" max="11" width="13.28515625" bestFit="1" customWidth="1"/>
    <col min="12" max="12" width="11.5703125" bestFit="1" customWidth="1"/>
    <col min="13" max="13" width="12.7109375" customWidth="1"/>
    <col min="14" max="14" width="34" customWidth="1"/>
  </cols>
  <sheetData>
    <row r="1" spans="1:14" ht="51">
      <c r="A1" s="98" t="s">
        <v>77</v>
      </c>
      <c r="B1" s="98" t="s">
        <v>0</v>
      </c>
      <c r="C1" s="98" t="s">
        <v>1</v>
      </c>
      <c r="D1" s="98" t="s">
        <v>78</v>
      </c>
      <c r="E1" s="98" t="s">
        <v>4</v>
      </c>
      <c r="F1" s="98" t="s">
        <v>5</v>
      </c>
      <c r="G1" s="99" t="s">
        <v>79</v>
      </c>
      <c r="H1" s="99" t="s">
        <v>80</v>
      </c>
      <c r="I1" s="99" t="s">
        <v>216</v>
      </c>
      <c r="J1" s="98" t="s">
        <v>82</v>
      </c>
      <c r="K1" s="100" t="s">
        <v>27</v>
      </c>
      <c r="L1" s="100" t="s">
        <v>28</v>
      </c>
      <c r="M1" s="100" t="s">
        <v>83</v>
      </c>
      <c r="N1" s="98" t="s">
        <v>7</v>
      </c>
    </row>
    <row r="2" spans="1:14" ht="76.5">
      <c r="A2" s="101" t="s">
        <v>245</v>
      </c>
      <c r="B2" s="101" t="s">
        <v>99</v>
      </c>
      <c r="C2" s="101" t="s">
        <v>10</v>
      </c>
      <c r="D2" s="101" t="s">
        <v>11</v>
      </c>
      <c r="E2" s="101">
        <v>9813</v>
      </c>
      <c r="F2" s="101" t="s">
        <v>100</v>
      </c>
      <c r="G2" s="197">
        <v>14217</v>
      </c>
      <c r="H2" s="102">
        <v>6857</v>
      </c>
      <c r="I2" s="102">
        <v>255314</v>
      </c>
      <c r="J2" s="178">
        <v>1.333</v>
      </c>
      <c r="K2" s="104" t="s">
        <v>246</v>
      </c>
      <c r="L2" s="104" t="s">
        <v>247</v>
      </c>
      <c r="M2" s="104" t="s">
        <v>103</v>
      </c>
      <c r="N2" s="101" t="s">
        <v>248</v>
      </c>
    </row>
    <row r="3" spans="1:14">
      <c r="A3" s="101"/>
      <c r="B3" s="101"/>
      <c r="C3" s="101"/>
      <c r="D3" s="101"/>
      <c r="E3" s="101"/>
      <c r="F3" s="101"/>
      <c r="G3" s="102"/>
      <c r="H3" s="102"/>
      <c r="I3" s="102"/>
      <c r="J3" s="103"/>
      <c r="K3" s="104"/>
      <c r="L3" s="104"/>
      <c r="M3" s="104"/>
      <c r="N3" s="101"/>
    </row>
    <row r="4" spans="1:14">
      <c r="J4">
        <f>+H2*1000/G2/365</f>
        <v>1.3213970155351349</v>
      </c>
    </row>
  </sheetData>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sheetPr>
    <tabColor theme="9" tint="-0.249977111117893"/>
  </sheetPr>
  <dimension ref="A1:N19"/>
  <sheetViews>
    <sheetView workbookViewId="0">
      <selection activeCell="N2" sqref="A2:N2"/>
    </sheetView>
  </sheetViews>
  <sheetFormatPr baseColWidth="10" defaultRowHeight="15"/>
  <cols>
    <col min="2" max="2" width="48" bestFit="1" customWidth="1"/>
    <col min="3" max="3" width="35.85546875" bestFit="1" customWidth="1"/>
  </cols>
  <sheetData>
    <row r="1" spans="1:14" s="313" customFormat="1" ht="94.5">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row>
    <row r="2" spans="1:14" s="313" customFormat="1">
      <c r="A2" s="352" t="s">
        <v>665</v>
      </c>
      <c r="B2" s="355" t="s">
        <v>254</v>
      </c>
      <c r="C2" s="355" t="s">
        <v>10</v>
      </c>
      <c r="D2" s="355" t="s">
        <v>11</v>
      </c>
      <c r="E2" s="352"/>
      <c r="F2" s="352"/>
      <c r="G2" s="349">
        <v>120612</v>
      </c>
      <c r="H2" s="349">
        <v>60000</v>
      </c>
      <c r="I2" s="180">
        <v>1633152</v>
      </c>
      <c r="J2" s="354">
        <v>1.3</v>
      </c>
      <c r="K2" s="355"/>
      <c r="L2" s="355"/>
      <c r="M2" s="355"/>
      <c r="N2" s="355" t="s">
        <v>359</v>
      </c>
    </row>
    <row r="4" spans="1:14">
      <c r="B4" s="109" t="s">
        <v>253</v>
      </c>
    </row>
    <row r="6" spans="1:14">
      <c r="B6" s="11" t="s">
        <v>160</v>
      </c>
      <c r="C6" s="11" t="s">
        <v>254</v>
      </c>
    </row>
    <row r="7" spans="1:14">
      <c r="B7" s="11" t="s">
        <v>2</v>
      </c>
      <c r="C7" s="11" t="s">
        <v>11</v>
      </c>
    </row>
    <row r="8" spans="1:14">
      <c r="B8" s="11" t="s">
        <v>255</v>
      </c>
      <c r="C8" s="11" t="s">
        <v>256</v>
      </c>
    </row>
    <row r="9" spans="1:14">
      <c r="B9" s="11" t="s">
        <v>257</v>
      </c>
      <c r="C9" s="11" t="s">
        <v>258</v>
      </c>
    </row>
    <row r="10" spans="1:14">
      <c r="B10" s="11" t="s">
        <v>259</v>
      </c>
      <c r="C10" s="11" t="s">
        <v>260</v>
      </c>
    </row>
    <row r="11" spans="1:14">
      <c r="B11" s="11" t="s">
        <v>5</v>
      </c>
      <c r="C11" s="11" t="s">
        <v>261</v>
      </c>
    </row>
    <row r="12" spans="1:14">
      <c r="B12" s="11" t="s">
        <v>262</v>
      </c>
      <c r="C12" s="179">
        <v>120612</v>
      </c>
    </row>
    <row r="13" spans="1:14">
      <c r="B13" s="11" t="s">
        <v>263</v>
      </c>
      <c r="C13" s="179">
        <v>60000</v>
      </c>
    </row>
    <row r="14" spans="1:14">
      <c r="B14" s="11" t="s">
        <v>264</v>
      </c>
      <c r="C14" s="180">
        <v>1633152</v>
      </c>
    </row>
    <row r="15" spans="1:14">
      <c r="B15" s="11" t="s">
        <v>265</v>
      </c>
      <c r="C15" s="11">
        <v>1.3</v>
      </c>
      <c r="D15">
        <f>+C13*1000/C12/365</f>
        <v>1.3629121616740922</v>
      </c>
    </row>
    <row r="16" spans="1:14">
      <c r="B16" s="11" t="s">
        <v>232</v>
      </c>
      <c r="C16" s="11" t="s">
        <v>266</v>
      </c>
    </row>
    <row r="17" spans="2:3">
      <c r="B17" s="11" t="s">
        <v>41</v>
      </c>
      <c r="C17" s="11" t="s">
        <v>267</v>
      </c>
    </row>
    <row r="18" spans="2:3">
      <c r="B18" s="11" t="s">
        <v>268</v>
      </c>
      <c r="C18" s="11" t="s">
        <v>269</v>
      </c>
    </row>
    <row r="19" spans="2:3">
      <c r="B19" s="11" t="s">
        <v>7</v>
      </c>
      <c r="C19" s="11" t="s">
        <v>359</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theme="9" tint="-0.249977111117893"/>
  </sheetPr>
  <dimension ref="A1:N5"/>
  <sheetViews>
    <sheetView workbookViewId="0">
      <selection sqref="A1:XFD2"/>
    </sheetView>
  </sheetViews>
  <sheetFormatPr baseColWidth="10" defaultRowHeight="15"/>
  <cols>
    <col min="6" max="6" width="12.7109375" customWidth="1"/>
    <col min="9" max="9" width="15.85546875" bestFit="1" customWidth="1"/>
    <col min="11" max="11" width="14" bestFit="1" customWidth="1"/>
    <col min="12" max="12" width="14.85546875" bestFit="1" customWidth="1"/>
    <col min="13" max="13" width="12.140625" bestFit="1" customWidth="1"/>
  </cols>
  <sheetData>
    <row r="1" spans="1:14" ht="94.5">
      <c r="A1" s="123" t="s">
        <v>77</v>
      </c>
      <c r="B1" s="123" t="s">
        <v>0</v>
      </c>
      <c r="C1" s="123" t="s">
        <v>1</v>
      </c>
      <c r="D1" s="123" t="s">
        <v>78</v>
      </c>
      <c r="E1" s="123" t="s">
        <v>4</v>
      </c>
      <c r="F1" s="123" t="s">
        <v>5</v>
      </c>
      <c r="G1" s="124" t="s">
        <v>79</v>
      </c>
      <c r="H1" s="124" t="s">
        <v>80</v>
      </c>
      <c r="I1" s="124" t="s">
        <v>81</v>
      </c>
      <c r="J1" s="123" t="s">
        <v>82</v>
      </c>
      <c r="K1" s="125" t="s">
        <v>27</v>
      </c>
      <c r="L1" s="125" t="s">
        <v>28</v>
      </c>
      <c r="M1" s="125" t="s">
        <v>83</v>
      </c>
      <c r="N1" s="123" t="s">
        <v>7</v>
      </c>
    </row>
    <row r="2" spans="1:14" ht="60">
      <c r="A2" s="118" t="s">
        <v>273</v>
      </c>
      <c r="B2" s="118" t="s">
        <v>218</v>
      </c>
      <c r="C2" s="10" t="s">
        <v>274</v>
      </c>
      <c r="D2" s="118" t="s">
        <v>219</v>
      </c>
      <c r="E2" s="118"/>
      <c r="F2" s="118" t="s">
        <v>275</v>
      </c>
      <c r="G2" s="119">
        <v>104000</v>
      </c>
      <c r="H2" s="119">
        <v>48516</v>
      </c>
      <c r="I2" s="119">
        <v>1187000</v>
      </c>
      <c r="J2" s="120">
        <f>+H2*1000/G2/365</f>
        <v>1.2780821917808218</v>
      </c>
      <c r="K2" s="122" t="s">
        <v>276</v>
      </c>
      <c r="L2" s="122"/>
      <c r="M2" s="122" t="s">
        <v>277</v>
      </c>
      <c r="N2" s="118"/>
    </row>
    <row r="3" spans="1:14" ht="45">
      <c r="A3" s="118"/>
      <c r="B3" s="118" t="s">
        <v>32</v>
      </c>
      <c r="C3" s="118"/>
      <c r="D3" s="118"/>
      <c r="E3" s="118"/>
      <c r="F3" s="118"/>
      <c r="G3" s="119"/>
      <c r="H3" s="119"/>
      <c r="I3" s="119"/>
      <c r="J3" s="120"/>
      <c r="K3" s="122"/>
      <c r="L3" s="122" t="s">
        <v>278</v>
      </c>
      <c r="M3" s="122"/>
      <c r="N3" s="118"/>
    </row>
    <row r="4" spans="1:14">
      <c r="A4" s="118"/>
      <c r="B4" s="118"/>
      <c r="C4" s="118"/>
      <c r="D4" s="118"/>
      <c r="E4" s="118"/>
      <c r="F4" s="118"/>
      <c r="G4" s="119"/>
      <c r="H4" s="119"/>
      <c r="I4" s="119"/>
      <c r="K4" s="122"/>
      <c r="L4" s="122"/>
      <c r="M4" s="122"/>
      <c r="N4" s="118"/>
    </row>
    <row r="5" spans="1:14">
      <c r="A5" s="118"/>
      <c r="B5" s="118"/>
      <c r="C5" s="118"/>
      <c r="D5" s="118"/>
      <c r="E5" s="121"/>
      <c r="F5" s="118"/>
      <c r="G5" s="119"/>
      <c r="J5" s="120"/>
      <c r="K5" s="122"/>
      <c r="L5" s="122"/>
      <c r="M5" s="122"/>
      <c r="N5" s="118"/>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theme="9" tint="-0.249977111117893"/>
  </sheetPr>
  <dimension ref="A1:N4"/>
  <sheetViews>
    <sheetView workbookViewId="0">
      <selection sqref="A1:XFD1"/>
    </sheetView>
  </sheetViews>
  <sheetFormatPr baseColWidth="10" defaultRowHeight="15"/>
  <cols>
    <col min="9" max="9" width="14" bestFit="1" customWidth="1"/>
  </cols>
  <sheetData>
    <row r="1" spans="1:14" ht="94.5">
      <c r="A1" s="144" t="s">
        <v>77</v>
      </c>
      <c r="B1" s="144" t="s">
        <v>0</v>
      </c>
      <c r="C1" s="144" t="s">
        <v>1</v>
      </c>
      <c r="D1" s="144" t="s">
        <v>78</v>
      </c>
      <c r="E1" s="144" t="s">
        <v>4</v>
      </c>
      <c r="F1" s="144" t="s">
        <v>5</v>
      </c>
      <c r="G1" s="145" t="s">
        <v>79</v>
      </c>
      <c r="H1" s="145" t="s">
        <v>80</v>
      </c>
      <c r="I1" s="145" t="s">
        <v>81</v>
      </c>
      <c r="J1" s="144" t="s">
        <v>82</v>
      </c>
      <c r="K1" s="146" t="s">
        <v>27</v>
      </c>
      <c r="L1" s="146" t="s">
        <v>28</v>
      </c>
      <c r="M1" s="146" t="s">
        <v>83</v>
      </c>
      <c r="N1" s="144" t="s">
        <v>7</v>
      </c>
    </row>
    <row r="2" spans="1:14" ht="75">
      <c r="A2" s="134" t="s">
        <v>289</v>
      </c>
      <c r="B2" s="134" t="s">
        <v>254</v>
      </c>
      <c r="C2" s="134" t="s">
        <v>10</v>
      </c>
      <c r="D2" s="134" t="s">
        <v>290</v>
      </c>
      <c r="E2" s="134"/>
      <c r="F2" s="134"/>
      <c r="G2" s="135">
        <v>211536</v>
      </c>
      <c r="H2" s="110">
        <v>76480.400000000009</v>
      </c>
      <c r="I2" s="135">
        <v>765257</v>
      </c>
      <c r="J2" s="111">
        <v>0.99054223614776404</v>
      </c>
      <c r="K2" s="143"/>
      <c r="L2" s="143"/>
      <c r="M2" s="143"/>
      <c r="N2" s="134"/>
    </row>
    <row r="4" spans="1:14">
      <c r="J4">
        <f>+H2*1000/G2/365</f>
        <v>0.99054223614776438</v>
      </c>
    </row>
  </sheetData>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sheetPr>
    <tabColor theme="9" tint="-0.249977111117893"/>
  </sheetPr>
  <dimension ref="A1:N17"/>
  <sheetViews>
    <sheetView workbookViewId="0">
      <selection activeCell="A2" sqref="A2:J2"/>
    </sheetView>
  </sheetViews>
  <sheetFormatPr baseColWidth="10" defaultRowHeight="15"/>
  <cols>
    <col min="2" max="2" width="25.85546875" customWidth="1"/>
    <col min="3" max="3" width="34.5703125" customWidth="1"/>
  </cols>
  <sheetData>
    <row r="1" spans="1:14" s="313" customFormat="1" ht="95.25" thickBot="1">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row>
    <row r="2" spans="1:14" ht="15.75" thickBot="1">
      <c r="A2" t="s">
        <v>664</v>
      </c>
      <c r="B2" s="177" t="s">
        <v>32</v>
      </c>
      <c r="C2" s="176" t="s">
        <v>10</v>
      </c>
      <c r="D2" s="177" t="s">
        <v>11</v>
      </c>
      <c r="G2" s="181">
        <v>400000</v>
      </c>
      <c r="H2" s="181">
        <v>156251</v>
      </c>
      <c r="I2" s="182">
        <v>3127892</v>
      </c>
      <c r="J2">
        <v>1.07</v>
      </c>
      <c r="N2" s="177"/>
    </row>
    <row r="3" spans="1:14" s="313" customFormat="1" ht="15.75" thickBot="1"/>
    <row r="4" spans="1:14" ht="30.75" thickBot="1">
      <c r="B4" s="154" t="s">
        <v>344</v>
      </c>
      <c r="C4" s="176" t="s">
        <v>345</v>
      </c>
    </row>
    <row r="5" spans="1:14" ht="15.75" thickBot="1">
      <c r="B5" s="156" t="s">
        <v>77</v>
      </c>
      <c r="C5" s="177" t="s">
        <v>11</v>
      </c>
    </row>
    <row r="6" spans="1:14" ht="30.75" thickBot="1">
      <c r="B6" s="156" t="s">
        <v>346</v>
      </c>
      <c r="C6" s="177" t="s">
        <v>32</v>
      </c>
    </row>
    <row r="7" spans="1:14" ht="15.75" thickBot="1">
      <c r="B7" s="156" t="s">
        <v>347</v>
      </c>
      <c r="C7" s="177" t="s">
        <v>348</v>
      </c>
    </row>
    <row r="8" spans="1:14" ht="15.75" thickBot="1">
      <c r="B8" s="156" t="s">
        <v>349</v>
      </c>
      <c r="C8" s="177" t="s">
        <v>350</v>
      </c>
    </row>
    <row r="9" spans="1:14" ht="15.75" thickBot="1">
      <c r="B9" s="156" t="s">
        <v>5</v>
      </c>
      <c r="C9" s="177"/>
    </row>
    <row r="10" spans="1:14" ht="15.75" thickBot="1">
      <c r="B10" s="156" t="s">
        <v>351</v>
      </c>
      <c r="C10" s="181">
        <v>400000</v>
      </c>
    </row>
    <row r="11" spans="1:14" ht="30.75" thickBot="1">
      <c r="B11" s="156" t="s">
        <v>352</v>
      </c>
      <c r="C11" s="181">
        <v>156251</v>
      </c>
    </row>
    <row r="12" spans="1:14" ht="30.75" thickBot="1">
      <c r="B12" s="156" t="s">
        <v>353</v>
      </c>
      <c r="C12" s="182">
        <v>3127892</v>
      </c>
    </row>
    <row r="13" spans="1:14" ht="15.75" thickBot="1">
      <c r="B13" s="156" t="s">
        <v>354</v>
      </c>
      <c r="C13" s="177">
        <v>1.07</v>
      </c>
      <c r="E13">
        <f>+C11*1000/C10/365</f>
        <v>1.0702123287671232</v>
      </c>
    </row>
    <row r="14" spans="1:14" ht="15.75" thickBot="1">
      <c r="B14" s="156" t="s">
        <v>27</v>
      </c>
      <c r="C14" s="177">
        <v>6269978.4000000004</v>
      </c>
    </row>
    <row r="15" spans="1:14" ht="15.75" thickBot="1">
      <c r="B15" s="156" t="s">
        <v>28</v>
      </c>
      <c r="C15" s="177">
        <v>333432</v>
      </c>
    </row>
    <row r="16" spans="1:14" ht="15.75" thickBot="1">
      <c r="B16" s="156" t="s">
        <v>355</v>
      </c>
      <c r="C16" s="177" t="s">
        <v>356</v>
      </c>
    </row>
    <row r="17" spans="2:3" ht="45.75" thickBot="1">
      <c r="B17" s="156" t="s">
        <v>357</v>
      </c>
      <c r="C17" s="177" t="s">
        <v>358</v>
      </c>
    </row>
  </sheetData>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sheetPr>
    <tabColor theme="9" tint="-0.249977111117893"/>
  </sheetPr>
  <dimension ref="A1:N5"/>
  <sheetViews>
    <sheetView workbookViewId="0">
      <selection activeCell="A5" sqref="A5:N5"/>
    </sheetView>
  </sheetViews>
  <sheetFormatPr baseColWidth="10" defaultRowHeight="15"/>
  <cols>
    <col min="9" max="9" width="15.140625" bestFit="1" customWidth="1"/>
  </cols>
  <sheetData>
    <row r="1" spans="1:14">
      <c r="A1" s="184"/>
      <c r="B1" s="184" t="s">
        <v>360</v>
      </c>
      <c r="C1" s="184" t="s">
        <v>360</v>
      </c>
      <c r="D1" s="184"/>
      <c r="E1" s="184"/>
      <c r="F1" s="184"/>
      <c r="G1" s="184" t="s">
        <v>361</v>
      </c>
      <c r="H1" s="184" t="s">
        <v>362</v>
      </c>
      <c r="I1" s="184"/>
      <c r="J1" s="184"/>
      <c r="K1" s="184"/>
      <c r="L1" s="184"/>
      <c r="M1" s="184"/>
      <c r="N1" s="184"/>
    </row>
    <row r="2" spans="1:14" ht="60">
      <c r="A2" s="185" t="s">
        <v>363</v>
      </c>
      <c r="B2" s="187" t="s">
        <v>364</v>
      </c>
      <c r="C2" s="185" t="s">
        <v>365</v>
      </c>
      <c r="D2" s="187" t="s">
        <v>366</v>
      </c>
      <c r="E2" s="185" t="s">
        <v>367</v>
      </c>
      <c r="F2" s="185" t="s">
        <v>5</v>
      </c>
      <c r="G2" s="185" t="s">
        <v>368</v>
      </c>
      <c r="H2" s="185" t="s">
        <v>369</v>
      </c>
      <c r="I2" s="185" t="s">
        <v>370</v>
      </c>
      <c r="J2" s="185" t="s">
        <v>371</v>
      </c>
      <c r="K2" s="185" t="s">
        <v>372</v>
      </c>
      <c r="L2" s="185" t="s">
        <v>372</v>
      </c>
      <c r="M2" s="185" t="s">
        <v>373</v>
      </c>
      <c r="N2" s="185" t="s">
        <v>7</v>
      </c>
    </row>
    <row r="3" spans="1:14">
      <c r="A3" s="185" t="s">
        <v>374</v>
      </c>
      <c r="B3" s="185" t="s">
        <v>375</v>
      </c>
      <c r="C3" s="185" t="s">
        <v>376</v>
      </c>
      <c r="D3" s="185"/>
      <c r="E3" s="185" t="s">
        <v>377</v>
      </c>
      <c r="F3" s="185"/>
      <c r="G3" s="185" t="s">
        <v>378</v>
      </c>
      <c r="H3" s="185" t="s">
        <v>328</v>
      </c>
      <c r="I3" s="185" t="s">
        <v>379</v>
      </c>
      <c r="J3" s="185" t="s">
        <v>380</v>
      </c>
      <c r="K3" s="185" t="s">
        <v>381</v>
      </c>
      <c r="L3" s="185" t="s">
        <v>382</v>
      </c>
      <c r="M3" s="185" t="s">
        <v>383</v>
      </c>
      <c r="N3" s="185"/>
    </row>
    <row r="4" spans="1:14" ht="15.75" thickBot="1">
      <c r="A4" s="186"/>
      <c r="B4" s="186"/>
      <c r="C4" s="186"/>
      <c r="D4" s="186"/>
      <c r="E4" s="186"/>
      <c r="F4" s="186"/>
      <c r="G4" s="186" t="s">
        <v>384</v>
      </c>
      <c r="H4" s="186"/>
      <c r="I4" s="186"/>
      <c r="J4" s="186"/>
      <c r="K4" s="186"/>
      <c r="L4" s="186"/>
      <c r="M4" s="186"/>
      <c r="N4" s="186"/>
    </row>
    <row r="5" spans="1:14" ht="30" customHeight="1">
      <c r="A5" s="241" t="s">
        <v>385</v>
      </c>
      <c r="B5" s="242" t="s">
        <v>11</v>
      </c>
      <c r="C5" s="242" t="s">
        <v>235</v>
      </c>
      <c r="D5" s="183"/>
      <c r="E5" s="242">
        <v>9813</v>
      </c>
      <c r="F5" s="242" t="s">
        <v>100</v>
      </c>
      <c r="G5" s="243">
        <v>780000</v>
      </c>
      <c r="H5" s="244">
        <v>218298</v>
      </c>
      <c r="I5" s="245">
        <v>5761715</v>
      </c>
      <c r="J5" s="246">
        <f>+H5*1000/G5/365</f>
        <v>0.76676501580611178</v>
      </c>
      <c r="K5" s="242" t="s">
        <v>101</v>
      </c>
      <c r="L5" s="242" t="s">
        <v>102</v>
      </c>
      <c r="M5" s="242" t="s">
        <v>103</v>
      </c>
      <c r="N5" s="247" t="s">
        <v>386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5" tint="-0.249977111117893"/>
  </sheetPr>
  <dimension ref="A1:N8"/>
  <sheetViews>
    <sheetView workbookViewId="0">
      <pane ySplit="1" topLeftCell="A2" activePane="bottomLeft" state="frozen"/>
      <selection pane="bottomLeft" sqref="A1:N3"/>
    </sheetView>
  </sheetViews>
  <sheetFormatPr baseColWidth="10" defaultRowHeight="15"/>
  <cols>
    <col min="1" max="1" width="10.85546875" bestFit="1" customWidth="1"/>
    <col min="2" max="2" width="11" bestFit="1" customWidth="1"/>
    <col min="3" max="3" width="15" bestFit="1" customWidth="1"/>
    <col min="4" max="4" width="15.42578125" customWidth="1"/>
    <col min="5" max="5" width="12.42578125" bestFit="1" customWidth="1"/>
    <col min="6" max="6" width="15.85546875" bestFit="1" customWidth="1"/>
    <col min="7" max="7" width="13.85546875" bestFit="1" customWidth="1"/>
    <col min="8" max="8" width="9.140625" bestFit="1" customWidth="1"/>
    <col min="9" max="9" width="12.28515625" bestFit="1" customWidth="1"/>
    <col min="10" max="10" width="11.7109375" bestFit="1" customWidth="1"/>
    <col min="11" max="11" width="7.28515625" bestFit="1" customWidth="1"/>
    <col min="12" max="12" width="10.28515625" bestFit="1" customWidth="1"/>
    <col min="13" max="13" width="15.85546875" customWidth="1"/>
    <col min="14" max="14" width="19.140625" customWidth="1"/>
  </cols>
  <sheetData>
    <row r="1" spans="1:14" s="28" customFormat="1" ht="51">
      <c r="A1" s="238" t="s">
        <v>77</v>
      </c>
      <c r="B1" s="238" t="s">
        <v>0</v>
      </c>
      <c r="C1" s="238" t="s">
        <v>1</v>
      </c>
      <c r="D1" s="238" t="s">
        <v>78</v>
      </c>
      <c r="E1" s="238" t="s">
        <v>4</v>
      </c>
      <c r="F1" s="238" t="s">
        <v>5</v>
      </c>
      <c r="G1" s="239" t="s">
        <v>79</v>
      </c>
      <c r="H1" s="239" t="s">
        <v>80</v>
      </c>
      <c r="I1" s="239" t="s">
        <v>81</v>
      </c>
      <c r="J1" s="238" t="s">
        <v>82</v>
      </c>
      <c r="K1" s="240" t="s">
        <v>27</v>
      </c>
      <c r="L1" s="240" t="s">
        <v>28</v>
      </c>
      <c r="M1" s="240" t="s">
        <v>83</v>
      </c>
      <c r="N1" s="238" t="s">
        <v>7</v>
      </c>
    </row>
    <row r="2" spans="1:14" s="28" customFormat="1" ht="54" customHeight="1">
      <c r="A2" s="464" t="s">
        <v>84</v>
      </c>
      <c r="B2" s="464" t="s">
        <v>85</v>
      </c>
      <c r="C2" s="101" t="s">
        <v>86</v>
      </c>
      <c r="D2" s="101" t="s">
        <v>87</v>
      </c>
      <c r="E2" s="464" t="s">
        <v>88</v>
      </c>
      <c r="F2" s="464" t="s">
        <v>89</v>
      </c>
      <c r="G2" s="289">
        <v>148220</v>
      </c>
      <c r="H2" s="289">
        <v>77012</v>
      </c>
      <c r="I2" s="290">
        <v>685407</v>
      </c>
      <c r="J2" s="291">
        <f>+H2*1000/G2/365</f>
        <v>1.4235041210492365</v>
      </c>
      <c r="K2" s="27"/>
      <c r="L2" s="27"/>
      <c r="M2" s="27"/>
      <c r="N2" s="101"/>
    </row>
    <row r="3" spans="1:14" s="28" customFormat="1" ht="57.75" customHeight="1">
      <c r="A3" s="465"/>
      <c r="B3" s="465"/>
      <c r="C3" s="101" t="s">
        <v>10</v>
      </c>
      <c r="D3" s="101" t="s">
        <v>90</v>
      </c>
      <c r="E3" s="465"/>
      <c r="F3" s="465"/>
      <c r="G3" s="286"/>
      <c r="H3" s="286"/>
      <c r="I3" s="287"/>
      <c r="J3" s="288"/>
      <c r="K3" s="27"/>
      <c r="L3" s="27"/>
      <c r="M3" s="27"/>
      <c r="N3" s="101"/>
    </row>
    <row r="4" spans="1:14">
      <c r="A4" s="1"/>
      <c r="B4" s="1"/>
      <c r="C4" s="1"/>
      <c r="D4" s="1"/>
      <c r="E4" s="1"/>
      <c r="F4" s="1"/>
      <c r="G4" s="2"/>
      <c r="H4" s="2"/>
      <c r="I4" s="2"/>
      <c r="J4" s="3"/>
      <c r="K4" s="11"/>
      <c r="L4" s="11"/>
      <c r="M4" s="11"/>
      <c r="N4" s="1"/>
    </row>
    <row r="5" spans="1:14">
      <c r="A5" s="1"/>
      <c r="B5" s="1"/>
      <c r="C5" s="1"/>
      <c r="D5" s="1"/>
      <c r="E5" s="4"/>
      <c r="F5" s="1"/>
      <c r="G5" s="2"/>
      <c r="H5" s="2"/>
      <c r="I5" s="2"/>
      <c r="J5" s="3"/>
      <c r="K5" s="11"/>
      <c r="L5" s="11"/>
      <c r="M5" s="11"/>
      <c r="N5" s="1"/>
    </row>
    <row r="6" spans="1:14">
      <c r="A6" s="5"/>
      <c r="B6" s="5"/>
      <c r="C6" s="5"/>
      <c r="D6" s="5"/>
      <c r="E6" s="6"/>
      <c r="F6" s="7"/>
      <c r="G6" s="7"/>
      <c r="H6" s="5"/>
      <c r="I6" s="5"/>
      <c r="J6" s="9"/>
      <c r="N6" s="8"/>
    </row>
    <row r="7" spans="1:14">
      <c r="J7">
        <f>+H2*1000/G2/365</f>
        <v>1.4235041210492365</v>
      </c>
    </row>
    <row r="8" spans="1:14">
      <c r="I8" s="19"/>
    </row>
  </sheetData>
  <mergeCells count="4">
    <mergeCell ref="A2:A3"/>
    <mergeCell ref="B2:B3"/>
    <mergeCell ref="E2:E3"/>
    <mergeCell ref="F2:F3"/>
  </mergeCells>
  <pageMargins left="0.7" right="0.7" top="0.75" bottom="0.75" header="0.3" footer="0.3"/>
  <pageSetup paperSize="9" orientation="portrait" r:id="rId1"/>
  <legacyDrawing r:id="rId2"/>
</worksheet>
</file>

<file path=xl/worksheets/sheet40.xml><?xml version="1.0" encoding="utf-8"?>
<worksheet xmlns="http://schemas.openxmlformats.org/spreadsheetml/2006/main" xmlns:r="http://schemas.openxmlformats.org/officeDocument/2006/relationships">
  <sheetPr>
    <tabColor theme="9" tint="-0.249977111117893"/>
  </sheetPr>
  <dimension ref="A1:M7"/>
  <sheetViews>
    <sheetView workbookViewId="0">
      <selection activeCell="A5" sqref="A5:L5"/>
    </sheetView>
  </sheetViews>
  <sheetFormatPr baseColWidth="10" defaultRowHeight="15"/>
  <cols>
    <col min="1" max="1" width="14.7109375" customWidth="1"/>
  </cols>
  <sheetData>
    <row r="1" spans="1:13">
      <c r="A1" s="184"/>
      <c r="B1" s="184" t="s">
        <v>360</v>
      </c>
      <c r="C1" s="184" t="s">
        <v>360</v>
      </c>
      <c r="D1" s="184"/>
      <c r="E1" s="184"/>
      <c r="F1" s="184" t="s">
        <v>361</v>
      </c>
      <c r="G1" s="184" t="s">
        <v>362</v>
      </c>
      <c r="H1" s="184"/>
      <c r="I1" s="184"/>
      <c r="J1" s="184"/>
      <c r="K1" s="184"/>
      <c r="L1" s="184"/>
      <c r="M1" s="184"/>
    </row>
    <row r="2" spans="1:13" ht="45">
      <c r="A2" s="185" t="s">
        <v>363</v>
      </c>
      <c r="B2" s="187" t="s">
        <v>364</v>
      </c>
      <c r="C2" s="185" t="s">
        <v>365</v>
      </c>
      <c r="D2" s="185" t="s">
        <v>367</v>
      </c>
      <c r="E2" s="185" t="s">
        <v>5</v>
      </c>
      <c r="F2" s="185" t="s">
        <v>368</v>
      </c>
      <c r="G2" s="185" t="s">
        <v>369</v>
      </c>
      <c r="H2" s="185" t="s">
        <v>370</v>
      </c>
      <c r="I2" s="185" t="s">
        <v>371</v>
      </c>
      <c r="J2" s="185" t="s">
        <v>372</v>
      </c>
      <c r="K2" s="185" t="s">
        <v>372</v>
      </c>
      <c r="L2" s="185" t="s">
        <v>373</v>
      </c>
      <c r="M2" s="185" t="s">
        <v>7</v>
      </c>
    </row>
    <row r="3" spans="1:13">
      <c r="A3" s="185" t="s">
        <v>374</v>
      </c>
      <c r="B3" s="185" t="s">
        <v>375</v>
      </c>
      <c r="C3" s="185" t="s">
        <v>376</v>
      </c>
      <c r="D3" s="185" t="s">
        <v>377</v>
      </c>
      <c r="E3" s="185"/>
      <c r="F3" s="185" t="s">
        <v>378</v>
      </c>
      <c r="G3" s="185" t="s">
        <v>328</v>
      </c>
      <c r="H3" s="185" t="s">
        <v>379</v>
      </c>
      <c r="I3" s="185" t="s">
        <v>380</v>
      </c>
      <c r="J3" s="185" t="s">
        <v>381</v>
      </c>
      <c r="K3" s="185" t="s">
        <v>382</v>
      </c>
      <c r="L3" s="185" t="s">
        <v>383</v>
      </c>
      <c r="M3" s="185"/>
    </row>
    <row r="4" spans="1:13" ht="15.75" thickBot="1">
      <c r="A4" s="186"/>
      <c r="B4" s="186"/>
      <c r="C4" s="186"/>
      <c r="D4" s="186"/>
      <c r="E4" s="186"/>
      <c r="F4" s="186" t="s">
        <v>384</v>
      </c>
      <c r="G4" s="186"/>
      <c r="H4" s="186"/>
      <c r="I4" s="186"/>
      <c r="J4" s="186"/>
      <c r="K4" s="186"/>
      <c r="L4" s="186"/>
      <c r="M4" s="186"/>
    </row>
    <row r="5" spans="1:13" ht="45">
      <c r="A5" s="304" t="s">
        <v>385</v>
      </c>
      <c r="B5" s="183" t="s">
        <v>11</v>
      </c>
      <c r="C5" s="183" t="s">
        <v>235</v>
      </c>
      <c r="D5" s="183">
        <v>9813</v>
      </c>
      <c r="E5" s="183" t="s">
        <v>100</v>
      </c>
      <c r="F5" s="183">
        <v>65000</v>
      </c>
      <c r="G5" s="305">
        <v>24293</v>
      </c>
      <c r="H5" s="306">
        <v>539028412</v>
      </c>
      <c r="I5" s="312">
        <f>+G5*1000/F5/365</f>
        <v>1.023940990516333</v>
      </c>
      <c r="J5" s="183" t="s">
        <v>101</v>
      </c>
      <c r="K5" s="183" t="s">
        <v>102</v>
      </c>
      <c r="L5" s="183" t="s">
        <v>103</v>
      </c>
      <c r="M5" s="307"/>
    </row>
    <row r="6" spans="1:13">
      <c r="A6" s="308"/>
      <c r="B6" s="42"/>
      <c r="C6" s="42"/>
      <c r="D6" s="42"/>
      <c r="E6" s="42"/>
      <c r="F6" s="42"/>
      <c r="G6" s="42"/>
      <c r="H6" s="306">
        <v>174285521</v>
      </c>
      <c r="I6" s="42"/>
      <c r="J6" s="42"/>
      <c r="K6" s="42"/>
      <c r="L6" s="42"/>
      <c r="M6" s="309"/>
    </row>
    <row r="7" spans="1:13">
      <c r="A7" s="308"/>
      <c r="B7" s="42"/>
      <c r="C7" s="42"/>
      <c r="D7" s="42"/>
      <c r="E7" s="42"/>
      <c r="F7" s="42"/>
      <c r="G7" s="42"/>
      <c r="H7" s="311">
        <f>+H5+H6</f>
        <v>713313933</v>
      </c>
      <c r="I7" s="42"/>
      <c r="J7" s="42"/>
      <c r="K7" s="42"/>
      <c r="L7" s="42"/>
      <c r="M7" s="309"/>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sheetPr>
    <tabColor theme="9" tint="-0.249977111117893"/>
  </sheetPr>
  <dimension ref="A1:N6"/>
  <sheetViews>
    <sheetView workbookViewId="0">
      <selection activeCell="A4" sqref="A4:M4"/>
    </sheetView>
  </sheetViews>
  <sheetFormatPr baseColWidth="10" defaultRowHeight="15"/>
  <cols>
    <col min="1" max="1" width="11.42578125" style="199"/>
  </cols>
  <sheetData>
    <row r="1" spans="1:14" ht="45">
      <c r="B1" s="185" t="s">
        <v>363</v>
      </c>
      <c r="C1" s="187" t="s">
        <v>364</v>
      </c>
      <c r="D1" s="185" t="s">
        <v>365</v>
      </c>
      <c r="E1" s="185" t="s">
        <v>367</v>
      </c>
      <c r="F1" s="185" t="s">
        <v>5</v>
      </c>
      <c r="G1" s="185" t="s">
        <v>368</v>
      </c>
      <c r="H1" s="185" t="s">
        <v>369</v>
      </c>
      <c r="I1" s="185" t="s">
        <v>370</v>
      </c>
      <c r="J1" s="185" t="s">
        <v>371</v>
      </c>
      <c r="K1" s="185" t="s">
        <v>372</v>
      </c>
      <c r="L1" s="185" t="s">
        <v>372</v>
      </c>
      <c r="M1" s="185" t="s">
        <v>373</v>
      </c>
      <c r="N1" s="185" t="s">
        <v>7</v>
      </c>
    </row>
    <row r="2" spans="1:14">
      <c r="B2" s="185" t="s">
        <v>374</v>
      </c>
      <c r="C2" s="185" t="s">
        <v>375</v>
      </c>
      <c r="D2" s="185" t="s">
        <v>376</v>
      </c>
      <c r="E2" s="185" t="s">
        <v>377</v>
      </c>
      <c r="F2" s="185"/>
      <c r="G2" s="185" t="s">
        <v>378</v>
      </c>
      <c r="H2" s="185" t="s">
        <v>328</v>
      </c>
      <c r="I2" s="185" t="s">
        <v>379</v>
      </c>
      <c r="J2" s="185" t="s">
        <v>380</v>
      </c>
      <c r="K2" s="185" t="s">
        <v>381</v>
      </c>
      <c r="L2" s="185" t="s">
        <v>382</v>
      </c>
      <c r="M2" s="185" t="s">
        <v>383</v>
      </c>
      <c r="N2" s="185"/>
    </row>
    <row r="3" spans="1:14" ht="15.75" thickBot="1">
      <c r="B3" s="186"/>
      <c r="C3" s="186"/>
      <c r="D3" s="186"/>
      <c r="E3" s="186"/>
      <c r="F3" s="186"/>
      <c r="G3" s="186" t="s">
        <v>384</v>
      </c>
      <c r="H3" s="186"/>
      <c r="I3" s="186"/>
      <c r="J3" s="186"/>
      <c r="K3" s="186"/>
      <c r="L3" s="186"/>
      <c r="M3" s="186"/>
      <c r="N3" s="186"/>
    </row>
    <row r="4" spans="1:14" ht="60">
      <c r="A4" s="199" t="s">
        <v>510</v>
      </c>
      <c r="B4" s="304" t="s">
        <v>385</v>
      </c>
      <c r="C4" s="183" t="s">
        <v>11</v>
      </c>
      <c r="D4" s="183" t="s">
        <v>235</v>
      </c>
      <c r="E4" s="183">
        <v>9813</v>
      </c>
      <c r="F4" s="183" t="s">
        <v>100</v>
      </c>
      <c r="G4" s="183">
        <v>99000</v>
      </c>
      <c r="H4" s="305">
        <v>31200</v>
      </c>
      <c r="I4" s="337"/>
      <c r="J4" s="183">
        <f>+H4*1000/G4/365</f>
        <v>0.86342880863428806</v>
      </c>
      <c r="K4" s="183" t="s">
        <v>101</v>
      </c>
      <c r="L4" s="183" t="s">
        <v>102</v>
      </c>
      <c r="M4" s="183" t="s">
        <v>103</v>
      </c>
      <c r="N4" s="307"/>
    </row>
    <row r="5" spans="1:14">
      <c r="B5" s="308"/>
      <c r="C5" s="42"/>
      <c r="D5" s="42"/>
      <c r="E5" s="42"/>
      <c r="F5" s="42"/>
      <c r="G5" s="42"/>
      <c r="H5" s="42"/>
      <c r="I5" s="306"/>
      <c r="J5" s="42"/>
      <c r="K5" s="42"/>
      <c r="L5" s="42"/>
      <c r="M5" s="42"/>
      <c r="N5" s="309"/>
    </row>
    <row r="6" spans="1:14">
      <c r="B6" s="308"/>
      <c r="C6" s="42"/>
      <c r="D6" s="42"/>
      <c r="E6" s="42"/>
      <c r="F6" s="42"/>
      <c r="G6" s="42"/>
      <c r="H6" s="42"/>
      <c r="I6" s="310"/>
      <c r="J6" s="42"/>
      <c r="K6" s="42"/>
      <c r="L6" s="42"/>
      <c r="M6" s="42"/>
      <c r="N6" s="309"/>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sheetPr>
    <tabColor theme="9" tint="-0.249977111117893"/>
  </sheetPr>
  <dimension ref="A1:M5"/>
  <sheetViews>
    <sheetView workbookViewId="0">
      <selection activeCell="A5" sqref="A5:L5"/>
    </sheetView>
  </sheetViews>
  <sheetFormatPr baseColWidth="10" defaultRowHeight="15"/>
  <cols>
    <col min="4" max="4" width="12.5703125" bestFit="1" customWidth="1"/>
    <col min="8" max="8" width="15" bestFit="1" customWidth="1"/>
  </cols>
  <sheetData>
    <row r="1" spans="1:13">
      <c r="A1" s="184"/>
      <c r="B1" s="184" t="s">
        <v>360</v>
      </c>
      <c r="C1" s="184" t="s">
        <v>360</v>
      </c>
      <c r="D1" s="184"/>
      <c r="E1" s="184"/>
      <c r="F1" s="184" t="s">
        <v>361</v>
      </c>
      <c r="G1" s="184" t="s">
        <v>362</v>
      </c>
      <c r="H1" s="184"/>
      <c r="I1" s="184"/>
      <c r="J1" s="184"/>
      <c r="K1" s="184"/>
      <c r="L1" s="184"/>
      <c r="M1" s="184"/>
    </row>
    <row r="2" spans="1:13" ht="45">
      <c r="A2" s="185" t="s">
        <v>363</v>
      </c>
      <c r="B2" s="187" t="s">
        <v>364</v>
      </c>
      <c r="C2" s="185" t="s">
        <v>365</v>
      </c>
      <c r="D2" s="185" t="s">
        <v>367</v>
      </c>
      <c r="E2" s="185" t="s">
        <v>5</v>
      </c>
      <c r="F2" s="185" t="s">
        <v>368</v>
      </c>
      <c r="G2" s="185" t="s">
        <v>369</v>
      </c>
      <c r="H2" s="185" t="s">
        <v>370</v>
      </c>
      <c r="I2" s="185" t="s">
        <v>371</v>
      </c>
      <c r="J2" s="185" t="s">
        <v>372</v>
      </c>
      <c r="K2" s="185" t="s">
        <v>372</v>
      </c>
      <c r="L2" s="185" t="s">
        <v>373</v>
      </c>
      <c r="M2" s="185" t="s">
        <v>7</v>
      </c>
    </row>
    <row r="3" spans="1:13">
      <c r="A3" s="185" t="s">
        <v>374</v>
      </c>
      <c r="B3" s="185" t="s">
        <v>375</v>
      </c>
      <c r="C3" s="185" t="s">
        <v>376</v>
      </c>
      <c r="D3" s="185" t="s">
        <v>377</v>
      </c>
      <c r="E3" s="185"/>
      <c r="F3" s="185" t="s">
        <v>378</v>
      </c>
      <c r="G3" s="185" t="s">
        <v>328</v>
      </c>
      <c r="H3" s="185" t="s">
        <v>530</v>
      </c>
      <c r="I3" s="185" t="s">
        <v>380</v>
      </c>
      <c r="J3" s="185" t="s">
        <v>381</v>
      </c>
      <c r="K3" s="185" t="s">
        <v>382</v>
      </c>
      <c r="L3" s="185" t="s">
        <v>383</v>
      </c>
      <c r="M3" s="185"/>
    </row>
    <row r="4" spans="1:13" ht="15.75" thickBot="1">
      <c r="A4" s="186"/>
      <c r="B4" s="186"/>
      <c r="C4" s="186"/>
      <c r="D4" s="186"/>
      <c r="E4" s="186"/>
      <c r="F4" s="186" t="s">
        <v>384</v>
      </c>
      <c r="G4" s="186"/>
      <c r="H4" s="186"/>
      <c r="I4" s="186"/>
      <c r="J4" s="186"/>
      <c r="K4" s="186"/>
      <c r="L4" s="186"/>
      <c r="M4" s="186"/>
    </row>
    <row r="5" spans="1:13" ht="60">
      <c r="A5" s="304" t="s">
        <v>385</v>
      </c>
      <c r="B5" s="183" t="s">
        <v>11</v>
      </c>
      <c r="C5" s="183" t="s">
        <v>235</v>
      </c>
      <c r="D5" s="183">
        <v>9813</v>
      </c>
      <c r="E5" s="183" t="s">
        <v>100</v>
      </c>
      <c r="F5" s="305">
        <v>363000</v>
      </c>
      <c r="G5" s="305" t="s">
        <v>531</v>
      </c>
      <c r="H5" s="305">
        <v>4001775371</v>
      </c>
      <c r="I5" s="183" t="s">
        <v>532</v>
      </c>
      <c r="J5" s="183" t="s">
        <v>101</v>
      </c>
      <c r="K5" s="183" t="s">
        <v>102</v>
      </c>
      <c r="L5" s="183" t="s">
        <v>103</v>
      </c>
      <c r="M5" s="305"/>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sheetPr>
    <tabColor theme="9" tint="-0.249977111117893"/>
  </sheetPr>
  <dimension ref="A1:N2"/>
  <sheetViews>
    <sheetView workbookViewId="0">
      <selection activeCell="A2" sqref="A2:J2"/>
    </sheetView>
  </sheetViews>
  <sheetFormatPr baseColWidth="10" defaultRowHeight="15"/>
  <cols>
    <col min="2" max="3" width="14" customWidth="1"/>
    <col min="4" max="4" width="15.42578125" customWidth="1"/>
    <col min="9" max="9" width="14.140625" bestFit="1" customWidth="1"/>
  </cols>
  <sheetData>
    <row r="1" spans="1:14" ht="94.5">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row>
    <row r="2" spans="1:14" ht="38.25">
      <c r="A2" s="352" t="s">
        <v>552</v>
      </c>
      <c r="B2" s="101" t="s">
        <v>553</v>
      </c>
      <c r="C2" s="352" t="s">
        <v>93</v>
      </c>
      <c r="D2" s="352" t="s">
        <v>114</v>
      </c>
      <c r="E2" s="352"/>
      <c r="F2" s="352"/>
      <c r="G2" s="353">
        <v>85195</v>
      </c>
      <c r="H2" s="353">
        <f>3406.89*12</f>
        <v>40882.68</v>
      </c>
      <c r="I2" s="360">
        <v>779124769</v>
      </c>
      <c r="J2" s="354">
        <f>+H2*1000/G2/365</f>
        <v>1.3147173245584063</v>
      </c>
      <c r="K2" s="355"/>
      <c r="L2" s="355"/>
      <c r="M2" s="355"/>
      <c r="N2" s="352"/>
    </row>
  </sheetData>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sheetPr>
    <tabColor theme="9" tint="-0.249977111117893"/>
  </sheetPr>
  <dimension ref="A1:N5"/>
  <sheetViews>
    <sheetView workbookViewId="0">
      <selection activeCell="N3" sqref="A3:N4"/>
    </sheetView>
  </sheetViews>
  <sheetFormatPr baseColWidth="10" defaultRowHeight="15"/>
  <cols>
    <col min="2" max="2" width="14.42578125" customWidth="1"/>
    <col min="3" max="3" width="14.85546875" customWidth="1"/>
    <col min="7" max="7" width="13.85546875" bestFit="1" customWidth="1"/>
    <col min="9" max="9" width="17.85546875" bestFit="1" customWidth="1"/>
    <col min="14" max="14" width="25.85546875" customWidth="1"/>
  </cols>
  <sheetData>
    <row r="1" spans="1:14" ht="94.5">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row>
    <row r="2" spans="1:14">
      <c r="A2" s="352"/>
      <c r="B2" s="352"/>
      <c r="C2" s="352"/>
      <c r="D2" s="352"/>
      <c r="E2" s="352"/>
      <c r="F2" s="352"/>
      <c r="G2" s="353"/>
      <c r="H2" s="353"/>
      <c r="I2" s="353"/>
      <c r="J2" s="354"/>
      <c r="K2" s="355"/>
      <c r="L2" s="355"/>
      <c r="M2" s="355"/>
      <c r="N2" s="352"/>
    </row>
    <row r="3" spans="1:14" ht="45">
      <c r="A3" s="352" t="s">
        <v>554</v>
      </c>
      <c r="B3" s="352" t="s">
        <v>555</v>
      </c>
      <c r="C3" s="352" t="s">
        <v>556</v>
      </c>
      <c r="D3" s="352" t="s">
        <v>557</v>
      </c>
      <c r="E3" s="352"/>
      <c r="F3" s="352"/>
      <c r="G3" s="318">
        <v>185449</v>
      </c>
      <c r="H3" s="361">
        <v>77835.460000000006</v>
      </c>
      <c r="I3" s="362">
        <v>809656464</v>
      </c>
      <c r="J3" s="363">
        <f>+H3*1000/G3/365</f>
        <v>1.149900164554343</v>
      </c>
      <c r="K3" s="355"/>
      <c r="L3" s="355"/>
      <c r="M3" s="355"/>
      <c r="N3" s="352" t="s">
        <v>558</v>
      </c>
    </row>
    <row r="4" spans="1:14" ht="60">
      <c r="A4" s="352"/>
      <c r="B4" s="352"/>
      <c r="C4" s="352"/>
      <c r="D4" s="352"/>
      <c r="E4" s="352"/>
      <c r="F4" s="352"/>
      <c r="G4" s="361"/>
      <c r="H4" s="361"/>
      <c r="I4" s="362">
        <v>2110689352</v>
      </c>
      <c r="J4" s="363"/>
      <c r="K4" s="355"/>
      <c r="L4" s="355"/>
      <c r="M4" s="355"/>
      <c r="N4" s="352" t="s">
        <v>559</v>
      </c>
    </row>
    <row r="5" spans="1:14">
      <c r="A5" s="352"/>
      <c r="B5" s="364" t="s">
        <v>560</v>
      </c>
      <c r="C5" s="365"/>
      <c r="D5" s="364"/>
      <c r="E5" s="366"/>
      <c r="F5" s="367"/>
      <c r="G5" s="366"/>
      <c r="H5" s="367"/>
      <c r="I5" s="368">
        <f>SUM(I3:I4)</f>
        <v>2920345816</v>
      </c>
      <c r="J5" s="354"/>
      <c r="K5" s="355"/>
      <c r="L5" s="355"/>
      <c r="M5" s="355"/>
      <c r="N5" s="352"/>
    </row>
  </sheetData>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sheetPr>
    <tabColor theme="9" tint="-0.249977111117893"/>
  </sheetPr>
  <dimension ref="A1:N3"/>
  <sheetViews>
    <sheetView workbookViewId="0">
      <selection activeCell="A3" sqref="A3:J3"/>
    </sheetView>
  </sheetViews>
  <sheetFormatPr baseColWidth="10" defaultRowHeight="15"/>
  <cols>
    <col min="9" max="9" width="15.85546875" bestFit="1" customWidth="1"/>
    <col min="14" max="14" width="17" customWidth="1"/>
  </cols>
  <sheetData>
    <row r="1" spans="1:14" ht="94.5">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row>
    <row r="2" spans="1:14">
      <c r="A2" s="352"/>
      <c r="B2" s="352"/>
      <c r="C2" s="352"/>
      <c r="D2" s="352"/>
      <c r="E2" s="352"/>
      <c r="F2" s="352"/>
      <c r="G2" s="353"/>
      <c r="H2" s="353"/>
      <c r="I2" s="353"/>
      <c r="J2" s="354"/>
      <c r="K2" s="355"/>
      <c r="L2" s="355"/>
      <c r="M2" s="355"/>
      <c r="N2" s="352"/>
    </row>
    <row r="3" spans="1:14" ht="45">
      <c r="A3" s="352" t="s">
        <v>577</v>
      </c>
      <c r="B3" s="352" t="s">
        <v>555</v>
      </c>
      <c r="C3" s="352" t="s">
        <v>556</v>
      </c>
      <c r="D3" s="352" t="s">
        <v>557</v>
      </c>
      <c r="E3" s="352"/>
      <c r="F3" s="352"/>
      <c r="G3" s="318">
        <v>119470</v>
      </c>
      <c r="H3" s="361">
        <v>68881.759999999995</v>
      </c>
      <c r="I3" s="362">
        <v>827696988</v>
      </c>
      <c r="J3" s="363">
        <v>1.4</v>
      </c>
      <c r="K3" s="355"/>
      <c r="L3" s="355"/>
      <c r="M3" s="355"/>
      <c r="N3" s="352"/>
    </row>
  </sheetData>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sheetPr>
    <tabColor rgb="FF0070C0"/>
  </sheetPr>
  <dimension ref="B1:O7"/>
  <sheetViews>
    <sheetView workbookViewId="0">
      <pane ySplit="1" topLeftCell="A2" activePane="bottomLeft" state="frozen"/>
      <selection pane="bottomLeft" activeCell="B2" sqref="B2:M2"/>
    </sheetView>
  </sheetViews>
  <sheetFormatPr baseColWidth="10" defaultRowHeight="15"/>
  <cols>
    <col min="2" max="2" width="9" bestFit="1" customWidth="1"/>
    <col min="3" max="3" width="10.42578125" bestFit="1" customWidth="1"/>
    <col min="4" max="4" width="10.7109375" bestFit="1" customWidth="1"/>
    <col min="5" max="5" width="13.5703125" bestFit="1" customWidth="1"/>
    <col min="6" max="6" width="11.140625" bestFit="1" customWidth="1"/>
    <col min="7" max="7" width="5.42578125" bestFit="1" customWidth="1"/>
    <col min="8" max="8" width="11" bestFit="1" customWidth="1"/>
    <col min="9" max="9" width="8.5703125" bestFit="1" customWidth="1"/>
    <col min="10" max="10" width="10.85546875" bestFit="1" customWidth="1"/>
    <col min="11" max="11" width="10.42578125" bestFit="1" customWidth="1"/>
    <col min="12" max="13" width="11.7109375" bestFit="1" customWidth="1"/>
    <col min="14" max="14" width="10.85546875" bestFit="1" customWidth="1"/>
    <col min="15" max="15" width="12.7109375" bestFit="1" customWidth="1"/>
  </cols>
  <sheetData>
    <row r="1" spans="2:15" s="23" customFormat="1" ht="48">
      <c r="B1" s="20" t="s">
        <v>77</v>
      </c>
      <c r="C1" s="20" t="s">
        <v>0</v>
      </c>
      <c r="D1" s="20" t="s">
        <v>1</v>
      </c>
      <c r="E1" s="20" t="s">
        <v>78</v>
      </c>
      <c r="F1" s="20" t="s">
        <v>4</v>
      </c>
      <c r="G1" s="20" t="s">
        <v>5</v>
      </c>
      <c r="H1" s="21" t="s">
        <v>79</v>
      </c>
      <c r="I1" s="21" t="s">
        <v>80</v>
      </c>
      <c r="J1" s="21" t="s">
        <v>81</v>
      </c>
      <c r="K1" s="20" t="s">
        <v>82</v>
      </c>
      <c r="L1" s="22" t="s">
        <v>27</v>
      </c>
      <c r="M1" s="22" t="s">
        <v>28</v>
      </c>
      <c r="N1" s="22" t="s">
        <v>83</v>
      </c>
      <c r="O1" s="20" t="s">
        <v>7</v>
      </c>
    </row>
    <row r="2" spans="2:15" s="28" customFormat="1" ht="25.5">
      <c r="B2" s="24" t="s">
        <v>91</v>
      </c>
      <c r="C2" s="24" t="s">
        <v>92</v>
      </c>
      <c r="D2" s="24" t="s">
        <v>93</v>
      </c>
      <c r="E2" s="24" t="s">
        <v>94</v>
      </c>
      <c r="F2" s="24" t="s">
        <v>95</v>
      </c>
      <c r="G2" s="24" t="s">
        <v>95</v>
      </c>
      <c r="H2" s="25">
        <v>81040</v>
      </c>
      <c r="I2" s="25">
        <v>34554</v>
      </c>
      <c r="J2" s="25">
        <v>72647</v>
      </c>
      <c r="K2" s="26">
        <v>1.17</v>
      </c>
      <c r="L2" s="27" t="s">
        <v>96</v>
      </c>
      <c r="M2" s="27" t="s">
        <v>97</v>
      </c>
      <c r="N2" s="27"/>
      <c r="O2" s="24"/>
    </row>
    <row r="3" spans="2:15">
      <c r="B3" s="1"/>
      <c r="C3" s="1"/>
      <c r="D3" s="1"/>
      <c r="E3" s="1"/>
      <c r="F3" s="1"/>
      <c r="G3" s="1"/>
      <c r="H3" s="2"/>
      <c r="I3" s="2"/>
      <c r="J3" s="2"/>
      <c r="K3" s="3"/>
      <c r="L3" s="11"/>
      <c r="M3" s="11"/>
      <c r="N3" s="11"/>
      <c r="O3" s="1"/>
    </row>
    <row r="4" spans="2:15">
      <c r="B4" s="1"/>
      <c r="C4" s="1"/>
      <c r="D4" s="1"/>
      <c r="E4" s="1"/>
      <c r="F4" s="1"/>
      <c r="G4" s="1"/>
      <c r="H4" s="2"/>
      <c r="I4" s="2"/>
      <c r="J4" s="2"/>
      <c r="K4" s="3"/>
      <c r="L4" s="11"/>
      <c r="M4" s="11"/>
      <c r="N4" s="11"/>
      <c r="O4" s="1"/>
    </row>
    <row r="5" spans="2:15">
      <c r="B5" s="1"/>
      <c r="C5" s="1"/>
      <c r="D5" s="1"/>
      <c r="E5" s="1"/>
      <c r="F5" s="4"/>
      <c r="G5" s="1"/>
      <c r="H5" s="2"/>
      <c r="I5" s="2"/>
      <c r="J5" s="2"/>
      <c r="K5" s="3"/>
      <c r="L5" s="11"/>
      <c r="M5" s="11"/>
      <c r="N5" s="11"/>
      <c r="O5" s="1"/>
    </row>
    <row r="6" spans="2:15">
      <c r="B6" s="5"/>
      <c r="C6" s="5"/>
      <c r="D6" s="5"/>
      <c r="E6" s="5"/>
      <c r="F6" s="6"/>
      <c r="G6" s="7"/>
      <c r="H6" s="7"/>
      <c r="I6" s="5"/>
      <c r="J6" s="5"/>
      <c r="K6" s="9"/>
      <c r="O6" s="8"/>
    </row>
    <row r="7" spans="2:15">
      <c r="K7">
        <f>+I2*1000/H2/365</f>
        <v>1.1681699549689653</v>
      </c>
    </row>
  </sheetData>
  <pageMargins left="0.70866141732283472" right="0.70866141732283472" top="0.74803149606299213" bottom="0.74803149606299213" header="0.31496062992125984" footer="0.31496062992125984"/>
  <pageSetup paperSize="5" orientation="landscape" r:id="rId1"/>
  <legacyDrawing r:id="rId2"/>
</worksheet>
</file>

<file path=xl/worksheets/sheet47.xml><?xml version="1.0" encoding="utf-8"?>
<worksheet xmlns="http://schemas.openxmlformats.org/spreadsheetml/2006/main" xmlns:r="http://schemas.openxmlformats.org/officeDocument/2006/relationships">
  <sheetPr>
    <tabColor rgb="FF0070C0"/>
  </sheetPr>
  <dimension ref="A1:N7"/>
  <sheetViews>
    <sheetView workbookViewId="0">
      <pane ySplit="1" topLeftCell="A2" activePane="bottomLeft" state="frozen"/>
      <selection pane="bottomLeft" activeCell="A2" sqref="A2:J2"/>
    </sheetView>
  </sheetViews>
  <sheetFormatPr baseColWidth="10" defaultRowHeight="15"/>
  <cols>
    <col min="1" max="2" width="13.5703125" customWidth="1"/>
    <col min="3" max="3" width="15.28515625" customWidth="1"/>
    <col min="4" max="4" width="15.42578125" customWidth="1"/>
    <col min="5" max="5" width="16.5703125" customWidth="1"/>
    <col min="7" max="7" width="14.85546875" customWidth="1"/>
    <col min="8" max="9" width="15" customWidth="1"/>
    <col min="10" max="10" width="14.140625" customWidth="1"/>
    <col min="13" max="13" width="15.85546875" customWidth="1"/>
    <col min="14" max="14" width="19.140625" customWidth="1"/>
  </cols>
  <sheetData>
    <row r="1" spans="1:14" ht="63">
      <c r="A1" s="16" t="s">
        <v>77</v>
      </c>
      <c r="B1" s="16" t="s">
        <v>0</v>
      </c>
      <c r="C1" s="16" t="s">
        <v>1</v>
      </c>
      <c r="D1" s="16" t="s">
        <v>78</v>
      </c>
      <c r="E1" s="16" t="s">
        <v>4</v>
      </c>
      <c r="F1" s="16" t="s">
        <v>5</v>
      </c>
      <c r="G1" s="17" t="s">
        <v>79</v>
      </c>
      <c r="H1" s="17" t="s">
        <v>80</v>
      </c>
      <c r="I1" s="17" t="s">
        <v>81</v>
      </c>
      <c r="J1" s="16" t="s">
        <v>82</v>
      </c>
      <c r="K1" s="18" t="s">
        <v>27</v>
      </c>
      <c r="L1" s="18" t="s">
        <v>28</v>
      </c>
      <c r="M1" s="18" t="s">
        <v>83</v>
      </c>
      <c r="N1" s="16" t="s">
        <v>7</v>
      </c>
    </row>
    <row r="2" spans="1:14" ht="60">
      <c r="A2" s="1" t="s">
        <v>174</v>
      </c>
      <c r="B2" s="1" t="s">
        <v>12</v>
      </c>
      <c r="C2" s="1" t="s">
        <v>175</v>
      </c>
      <c r="D2" s="1" t="s">
        <v>176</v>
      </c>
      <c r="E2" s="1" t="s">
        <v>177</v>
      </c>
      <c r="F2" s="1"/>
      <c r="G2" s="198">
        <v>32000</v>
      </c>
      <c r="H2" s="198">
        <v>10500</v>
      </c>
      <c r="I2" s="198">
        <v>85094</v>
      </c>
      <c r="J2" s="136">
        <v>0.9</v>
      </c>
      <c r="K2" s="11"/>
      <c r="L2" s="11"/>
      <c r="M2" s="11"/>
      <c r="N2" s="1" t="s">
        <v>178</v>
      </c>
    </row>
    <row r="3" spans="1:14">
      <c r="A3" s="1"/>
      <c r="B3" s="1"/>
      <c r="C3" s="1"/>
      <c r="D3" s="1"/>
      <c r="E3" s="1"/>
      <c r="F3" s="1"/>
      <c r="G3" s="2"/>
      <c r="H3" s="2"/>
      <c r="I3" s="2"/>
      <c r="J3" s="3"/>
      <c r="K3" s="11"/>
      <c r="L3" s="11"/>
      <c r="M3" s="11"/>
      <c r="N3" s="1"/>
    </row>
    <row r="4" spans="1:14">
      <c r="A4" s="1"/>
      <c r="B4" s="1"/>
      <c r="C4" s="1"/>
      <c r="D4" s="1"/>
      <c r="E4" s="1"/>
      <c r="F4" s="1"/>
      <c r="G4" s="2"/>
      <c r="H4" s="2"/>
      <c r="I4" s="2"/>
      <c r="J4" s="3"/>
      <c r="K4" s="11"/>
      <c r="L4" s="11"/>
      <c r="M4" s="11"/>
      <c r="N4" s="1"/>
    </row>
    <row r="5" spans="1:14">
      <c r="A5" s="1"/>
      <c r="B5" s="1"/>
      <c r="C5" s="1"/>
      <c r="D5" s="1"/>
      <c r="E5" s="4"/>
      <c r="F5" s="1"/>
      <c r="G5" s="2"/>
      <c r="H5" s="2"/>
      <c r="I5" s="2"/>
      <c r="J5" s="3"/>
      <c r="K5" s="11"/>
      <c r="L5" s="11"/>
      <c r="M5" s="11"/>
      <c r="N5" s="1"/>
    </row>
    <row r="6" spans="1:14">
      <c r="A6" s="5"/>
      <c r="B6" s="5"/>
      <c r="C6" s="5"/>
      <c r="D6" s="5"/>
      <c r="E6" s="6"/>
      <c r="F6" s="7"/>
      <c r="G6" s="7"/>
      <c r="H6" s="5"/>
      <c r="I6" s="5"/>
      <c r="J6" s="9"/>
      <c r="N6" s="8"/>
    </row>
    <row r="7" spans="1:14">
      <c r="J7">
        <f>+H2*1000/G2/365</f>
        <v>0.89897260273972601</v>
      </c>
    </row>
  </sheetData>
  <pageMargins left="0.7" right="0.7" top="0.75" bottom="0.75" header="0.3" footer="0.3"/>
  <legacyDrawing r:id="rId1"/>
</worksheet>
</file>

<file path=xl/worksheets/sheet48.xml><?xml version="1.0" encoding="utf-8"?>
<worksheet xmlns="http://schemas.openxmlformats.org/spreadsheetml/2006/main" xmlns:r="http://schemas.openxmlformats.org/officeDocument/2006/relationships">
  <sheetPr>
    <tabColor rgb="FF0070C0"/>
  </sheetPr>
  <dimension ref="A1:N5"/>
  <sheetViews>
    <sheetView workbookViewId="0">
      <selection activeCell="A2" sqref="A2:M2"/>
    </sheetView>
  </sheetViews>
  <sheetFormatPr baseColWidth="10" defaultRowHeight="15"/>
  <cols>
    <col min="9" max="9" width="14" bestFit="1" customWidth="1"/>
  </cols>
  <sheetData>
    <row r="1" spans="1:14" ht="94.5">
      <c r="A1" s="144" t="s">
        <v>77</v>
      </c>
      <c r="B1" s="144" t="s">
        <v>0</v>
      </c>
      <c r="C1" s="144" t="s">
        <v>1</v>
      </c>
      <c r="D1" s="144" t="s">
        <v>78</v>
      </c>
      <c r="E1" s="144" t="s">
        <v>4</v>
      </c>
      <c r="F1" s="144" t="s">
        <v>5</v>
      </c>
      <c r="G1" s="145" t="s">
        <v>79</v>
      </c>
      <c r="H1" s="145" t="s">
        <v>80</v>
      </c>
      <c r="I1" s="145" t="s">
        <v>81</v>
      </c>
      <c r="J1" s="144" t="s">
        <v>82</v>
      </c>
      <c r="K1" s="146" t="s">
        <v>27</v>
      </c>
      <c r="L1" s="146" t="s">
        <v>28</v>
      </c>
      <c r="M1" s="146" t="s">
        <v>83</v>
      </c>
      <c r="N1" s="144" t="s">
        <v>7</v>
      </c>
    </row>
    <row r="2" spans="1:14" ht="45">
      <c r="A2" s="134" t="s">
        <v>291</v>
      </c>
      <c r="B2" s="134" t="s">
        <v>292</v>
      </c>
      <c r="C2" s="134" t="s">
        <v>293</v>
      </c>
      <c r="D2" s="134" t="s">
        <v>176</v>
      </c>
      <c r="E2" s="134" t="s">
        <v>294</v>
      </c>
      <c r="F2" s="134" t="s">
        <v>295</v>
      </c>
      <c r="G2" s="135">
        <v>55900</v>
      </c>
      <c r="H2" s="135" t="s">
        <v>296</v>
      </c>
      <c r="I2" s="135">
        <v>202600</v>
      </c>
      <c r="J2" s="136" t="s">
        <v>297</v>
      </c>
      <c r="K2" s="149" t="s">
        <v>298</v>
      </c>
      <c r="L2" s="149" t="s">
        <v>299</v>
      </c>
      <c r="M2" s="149" t="s">
        <v>300</v>
      </c>
      <c r="N2" s="134"/>
    </row>
    <row r="5" spans="1:14">
      <c r="J5">
        <f>+H2*1000/G2/365</f>
        <v>1.2002259416276619</v>
      </c>
    </row>
  </sheetData>
  <pageMargins left="0.7" right="0.7" top="0.75" bottom="0.75" header="0.3" footer="0.3"/>
  <legacyDrawing r:id="rId1"/>
</worksheet>
</file>

<file path=xl/worksheets/sheet49.xml><?xml version="1.0" encoding="utf-8"?>
<worksheet xmlns="http://schemas.openxmlformats.org/spreadsheetml/2006/main" xmlns:r="http://schemas.openxmlformats.org/officeDocument/2006/relationships">
  <sheetPr>
    <tabColor rgb="FF0070C0"/>
  </sheetPr>
  <dimension ref="A1:N7"/>
  <sheetViews>
    <sheetView topLeftCell="C1" zoomScale="90" zoomScaleNormal="90" workbookViewId="0">
      <pane ySplit="1" topLeftCell="A2" activePane="bottomLeft" state="frozen"/>
      <selection pane="bottomLeft" activeCell="A2" sqref="A2:N2"/>
    </sheetView>
  </sheetViews>
  <sheetFormatPr baseColWidth="10" defaultRowHeight="15"/>
  <cols>
    <col min="1" max="1" width="15" bestFit="1" customWidth="1"/>
    <col min="2" max="2" width="13.5703125" customWidth="1"/>
    <col min="3" max="3" width="15.28515625" customWidth="1"/>
    <col min="4" max="4" width="15.42578125" customWidth="1"/>
    <col min="5" max="5" width="16.5703125" customWidth="1"/>
    <col min="6" max="6" width="15.140625" customWidth="1"/>
    <col min="7" max="7" width="14.85546875" customWidth="1"/>
    <col min="8" max="8" width="15" customWidth="1"/>
    <col min="9" max="9" width="15.85546875" bestFit="1" customWidth="1"/>
    <col min="10" max="10" width="14.140625" customWidth="1"/>
    <col min="11" max="11" width="14.5703125" bestFit="1" customWidth="1"/>
    <col min="12" max="12" width="12.7109375" bestFit="1" customWidth="1"/>
    <col min="13" max="13" width="15.85546875" customWidth="1"/>
    <col min="14" max="14" width="19.140625" customWidth="1"/>
  </cols>
  <sheetData>
    <row r="1" spans="1:14" ht="63">
      <c r="A1" s="16" t="s">
        <v>77</v>
      </c>
      <c r="B1" s="16" t="s">
        <v>0</v>
      </c>
      <c r="C1" s="16" t="s">
        <v>1</v>
      </c>
      <c r="D1" s="16" t="s">
        <v>78</v>
      </c>
      <c r="E1" s="16" t="s">
        <v>4</v>
      </c>
      <c r="F1" s="16" t="s">
        <v>5</v>
      </c>
      <c r="G1" s="17" t="s">
        <v>79</v>
      </c>
      <c r="H1" s="17" t="s">
        <v>80</v>
      </c>
      <c r="I1" s="17" t="s">
        <v>81</v>
      </c>
      <c r="J1" s="16" t="s">
        <v>82</v>
      </c>
      <c r="K1" s="18" t="s">
        <v>27</v>
      </c>
      <c r="L1" s="18" t="s">
        <v>28</v>
      </c>
      <c r="M1" s="18" t="s">
        <v>83</v>
      </c>
      <c r="N1" s="16" t="s">
        <v>7</v>
      </c>
    </row>
    <row r="2" spans="1:14" ht="60">
      <c r="A2" s="1" t="s">
        <v>203</v>
      </c>
      <c r="B2" s="1" t="s">
        <v>12</v>
      </c>
      <c r="C2" s="1" t="s">
        <v>10</v>
      </c>
      <c r="D2" s="1" t="s">
        <v>13</v>
      </c>
      <c r="E2" s="1" t="s">
        <v>204</v>
      </c>
      <c r="F2" s="1" t="s">
        <v>205</v>
      </c>
      <c r="G2" s="2">
        <v>250000</v>
      </c>
      <c r="H2" s="2">
        <v>99244.82</v>
      </c>
      <c r="I2" s="2">
        <v>2411000</v>
      </c>
      <c r="J2" s="3">
        <v>1.08</v>
      </c>
      <c r="K2" s="84">
        <v>6289506.1100000003</v>
      </c>
      <c r="L2" s="84">
        <v>325808.99</v>
      </c>
      <c r="M2" s="1" t="s">
        <v>206</v>
      </c>
      <c r="N2" s="1" t="s">
        <v>207</v>
      </c>
    </row>
    <row r="3" spans="1:14">
      <c r="A3" s="1"/>
      <c r="B3" s="1"/>
      <c r="C3" s="1"/>
      <c r="D3" s="1"/>
      <c r="E3" s="1"/>
      <c r="F3" s="1"/>
      <c r="G3" s="2"/>
      <c r="H3" s="2"/>
      <c r="I3" s="2"/>
      <c r="J3" s="3"/>
      <c r="K3" s="11"/>
      <c r="L3" s="11"/>
      <c r="M3" s="11"/>
      <c r="N3" s="1"/>
    </row>
    <row r="4" spans="1:14">
      <c r="A4" s="1"/>
      <c r="B4" s="1"/>
      <c r="C4" s="1"/>
      <c r="D4" s="1"/>
      <c r="E4" s="1"/>
      <c r="F4" s="1"/>
      <c r="G4" s="2"/>
      <c r="H4" s="2"/>
      <c r="I4" s="2"/>
      <c r="J4" s="3"/>
      <c r="K4" s="11"/>
      <c r="L4" s="11"/>
      <c r="M4" s="11"/>
      <c r="N4" s="1"/>
    </row>
    <row r="5" spans="1:14">
      <c r="A5" s="1"/>
      <c r="B5" s="1"/>
      <c r="C5" s="1"/>
      <c r="D5" s="1"/>
      <c r="E5" s="4"/>
      <c r="F5" s="1"/>
      <c r="G5" s="2"/>
      <c r="H5" s="2"/>
      <c r="I5" s="2"/>
      <c r="J5" s="3"/>
      <c r="K5" s="11"/>
      <c r="L5" s="11"/>
      <c r="M5" s="11"/>
      <c r="N5" s="1"/>
    </row>
    <row r="6" spans="1:14">
      <c r="A6" s="5"/>
      <c r="B6" s="5"/>
      <c r="C6" s="5"/>
      <c r="D6" s="5"/>
      <c r="E6" s="6"/>
      <c r="F6" s="7"/>
      <c r="G6" s="7"/>
      <c r="H6" s="5"/>
      <c r="I6" s="5"/>
      <c r="J6" s="9"/>
      <c r="N6" s="8"/>
    </row>
    <row r="7" spans="1:14">
      <c r="J7">
        <f>+H2*1000/G2/365</f>
        <v>1.0876144657534248</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sheetPr>
    <tabColor theme="5" tint="-0.249977111117893"/>
  </sheetPr>
  <dimension ref="A1:N29"/>
  <sheetViews>
    <sheetView zoomScale="90" zoomScaleNormal="90" workbookViewId="0">
      <pane ySplit="1" topLeftCell="A2" activePane="bottomLeft" state="frozen"/>
      <selection pane="bottomLeft" activeCell="A2" sqref="A2:N2"/>
    </sheetView>
  </sheetViews>
  <sheetFormatPr baseColWidth="10" defaultRowHeight="15"/>
  <cols>
    <col min="1" max="2" width="13.5703125" customWidth="1"/>
    <col min="3" max="3" width="15.28515625" customWidth="1"/>
    <col min="4" max="4" width="15.42578125" customWidth="1"/>
    <col min="5" max="5" width="16.5703125" customWidth="1"/>
    <col min="7" max="7" width="14.85546875" customWidth="1"/>
    <col min="8" max="8" width="15" customWidth="1"/>
    <col min="9" max="9" width="16.28515625" customWidth="1"/>
    <col min="10" max="10" width="14" bestFit="1" customWidth="1"/>
    <col min="13" max="13" width="15.85546875" customWidth="1"/>
    <col min="14" max="14" width="19.140625" customWidth="1"/>
  </cols>
  <sheetData>
    <row r="1" spans="1:14" ht="63">
      <c r="A1" s="16" t="s">
        <v>77</v>
      </c>
      <c r="B1" s="16" t="s">
        <v>0</v>
      </c>
      <c r="C1" s="16" t="s">
        <v>1</v>
      </c>
      <c r="D1" s="16" t="s">
        <v>78</v>
      </c>
      <c r="E1" s="16" t="s">
        <v>4</v>
      </c>
      <c r="F1" s="16" t="s">
        <v>5</v>
      </c>
      <c r="G1" s="17" t="s">
        <v>79</v>
      </c>
      <c r="H1" s="17" t="s">
        <v>80</v>
      </c>
      <c r="I1" s="17" t="s">
        <v>81</v>
      </c>
      <c r="J1" s="16" t="s">
        <v>82</v>
      </c>
      <c r="K1" s="18" t="s">
        <v>27</v>
      </c>
      <c r="L1" s="18" t="s">
        <v>28</v>
      </c>
      <c r="M1" s="18" t="s">
        <v>83</v>
      </c>
      <c r="N1" s="16" t="s">
        <v>7</v>
      </c>
    </row>
    <row r="2" spans="1:14" ht="60">
      <c r="A2" s="1" t="s">
        <v>105</v>
      </c>
      <c r="B2" s="1" t="s">
        <v>85</v>
      </c>
      <c r="C2" s="1" t="s">
        <v>10</v>
      </c>
      <c r="D2" s="1" t="s">
        <v>90</v>
      </c>
      <c r="E2" s="1" t="s">
        <v>106</v>
      </c>
      <c r="F2" s="1" t="s">
        <v>107</v>
      </c>
      <c r="G2" s="2">
        <v>95961</v>
      </c>
      <c r="H2" s="2">
        <v>38113</v>
      </c>
      <c r="I2" s="2">
        <v>1051289</v>
      </c>
      <c r="J2" s="3">
        <v>1.08</v>
      </c>
      <c r="K2" s="30" t="s">
        <v>108</v>
      </c>
      <c r="L2" s="30" t="s">
        <v>109</v>
      </c>
      <c r="M2" s="31" t="s">
        <v>85</v>
      </c>
      <c r="N2" s="1" t="s">
        <v>110</v>
      </c>
    </row>
    <row r="3" spans="1:14">
      <c r="A3" s="1"/>
      <c r="B3" s="1"/>
      <c r="C3" s="1"/>
      <c r="D3" s="1"/>
      <c r="E3" s="1"/>
      <c r="F3" s="1"/>
      <c r="G3" s="2"/>
      <c r="H3" s="2"/>
      <c r="I3" s="2"/>
      <c r="J3" s="3"/>
      <c r="K3" s="11"/>
      <c r="L3" s="11"/>
      <c r="M3" s="11"/>
      <c r="N3" s="1"/>
    </row>
    <row r="4" spans="1:14">
      <c r="A4" s="1"/>
      <c r="B4" s="1"/>
      <c r="C4" s="1"/>
      <c r="D4" s="1"/>
      <c r="E4" s="1"/>
      <c r="F4" s="1"/>
      <c r="G4" s="2"/>
      <c r="H4" s="2"/>
      <c r="I4" s="2"/>
      <c r="J4" s="3"/>
      <c r="K4" s="11"/>
      <c r="L4" s="11"/>
      <c r="M4" s="11"/>
      <c r="N4" s="1"/>
    </row>
    <row r="5" spans="1:14">
      <c r="A5" s="1"/>
      <c r="B5" s="1"/>
      <c r="C5" s="1"/>
      <c r="D5" s="1"/>
      <c r="E5" s="4"/>
      <c r="F5" s="1"/>
      <c r="G5" s="2"/>
      <c r="H5" s="2"/>
      <c r="I5" s="2"/>
      <c r="J5" s="3"/>
      <c r="K5" s="11"/>
      <c r="L5" s="11"/>
      <c r="M5" s="11"/>
      <c r="N5" s="1"/>
    </row>
    <row r="6" spans="1:14">
      <c r="A6" s="5"/>
      <c r="B6" s="5"/>
      <c r="C6" s="5"/>
      <c r="D6" s="5"/>
      <c r="E6" s="6"/>
      <c r="F6" s="7"/>
      <c r="G6" s="7"/>
      <c r="H6" s="5"/>
      <c r="I6" s="5"/>
      <c r="J6" s="9"/>
      <c r="N6" s="8"/>
    </row>
    <row r="8" spans="1:14">
      <c r="J8">
        <f>+H2*1000/G2/365</f>
        <v>1.0881418293076541</v>
      </c>
    </row>
    <row r="29" spans="10:10">
      <c r="J29">
        <v>0</v>
      </c>
    </row>
  </sheetData>
  <pageMargins left="0.7" right="0.7" top="0.75" bottom="0.75" header="0.3" footer="0.3"/>
  <pageSetup paperSize="9" orientation="portrait" r:id="rId1"/>
  <legacyDrawing r:id="rId2"/>
</worksheet>
</file>

<file path=xl/worksheets/sheet50.xml><?xml version="1.0" encoding="utf-8"?>
<worksheet xmlns="http://schemas.openxmlformats.org/spreadsheetml/2006/main" xmlns:r="http://schemas.openxmlformats.org/officeDocument/2006/relationships">
  <sheetPr>
    <tabColor rgb="FF0070C0"/>
  </sheetPr>
  <dimension ref="A1:N2"/>
  <sheetViews>
    <sheetView topLeftCell="B1" workbookViewId="0">
      <selection activeCell="A2" sqref="A2:N2"/>
    </sheetView>
  </sheetViews>
  <sheetFormatPr baseColWidth="10" defaultRowHeight="15"/>
  <cols>
    <col min="1" max="1" width="16.7109375" customWidth="1"/>
    <col min="2" max="2" width="17.28515625" customWidth="1"/>
    <col min="3" max="3" width="15.5703125" customWidth="1"/>
    <col min="4" max="4" width="10.5703125" bestFit="1" customWidth="1"/>
    <col min="9" max="9" width="17.140625" bestFit="1" customWidth="1"/>
    <col min="11" max="11" width="10.85546875" bestFit="1" customWidth="1"/>
  </cols>
  <sheetData>
    <row r="1" spans="1:14" ht="94.5">
      <c r="A1" s="315" t="s">
        <v>77</v>
      </c>
      <c r="B1" s="315" t="s">
        <v>0</v>
      </c>
      <c r="C1" s="315" t="s">
        <v>1</v>
      </c>
      <c r="D1" s="315" t="s">
        <v>78</v>
      </c>
      <c r="E1" s="315" t="s">
        <v>4</v>
      </c>
      <c r="F1" s="315" t="s">
        <v>5</v>
      </c>
      <c r="G1" s="316" t="s">
        <v>79</v>
      </c>
      <c r="H1" s="316" t="s">
        <v>80</v>
      </c>
      <c r="I1" s="316" t="s">
        <v>81</v>
      </c>
      <c r="J1" s="315" t="s">
        <v>82</v>
      </c>
      <c r="K1" s="317" t="s">
        <v>27</v>
      </c>
      <c r="L1" s="317" t="s">
        <v>28</v>
      </c>
      <c r="M1" s="317" t="s">
        <v>83</v>
      </c>
      <c r="N1" s="315" t="s">
        <v>7</v>
      </c>
    </row>
    <row r="2" spans="1:14" ht="60">
      <c r="A2" s="314" t="s">
        <v>511</v>
      </c>
      <c r="B2" s="314" t="s">
        <v>92</v>
      </c>
      <c r="C2" s="314" t="s">
        <v>93</v>
      </c>
      <c r="D2" s="314" t="s">
        <v>94</v>
      </c>
      <c r="E2" s="314" t="s">
        <v>294</v>
      </c>
      <c r="F2" s="314" t="s">
        <v>295</v>
      </c>
      <c r="G2" s="318">
        <v>87230.90884155262</v>
      </c>
      <c r="H2" s="318">
        <v>29708.065199999997</v>
      </c>
      <c r="I2" s="319">
        <v>242967961.28</v>
      </c>
      <c r="J2" s="314">
        <v>0.93306329755082795</v>
      </c>
      <c r="K2" s="314" t="s">
        <v>512</v>
      </c>
      <c r="L2" s="314" t="s">
        <v>513</v>
      </c>
      <c r="M2" s="314" t="s">
        <v>514</v>
      </c>
      <c r="N2" s="314" t="s">
        <v>515</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sheetPr>
    <tabColor rgb="FF0070C0"/>
  </sheetPr>
  <dimension ref="A1:N2"/>
  <sheetViews>
    <sheetView topLeftCell="C1" workbookViewId="0">
      <selection activeCell="A2" sqref="A2:N2"/>
    </sheetView>
  </sheetViews>
  <sheetFormatPr baseColWidth="10" defaultRowHeight="15"/>
  <cols>
    <col min="9" max="9" width="14" bestFit="1" customWidth="1"/>
    <col min="14" max="14" width="46.140625" customWidth="1"/>
  </cols>
  <sheetData>
    <row r="1" spans="1:14" ht="94.5">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row>
    <row r="2" spans="1:14" ht="60">
      <c r="A2" s="352" t="s">
        <v>561</v>
      </c>
      <c r="B2" s="352" t="s">
        <v>562</v>
      </c>
      <c r="C2" s="352" t="s">
        <v>10</v>
      </c>
      <c r="D2" s="352" t="s">
        <v>13</v>
      </c>
      <c r="E2" s="352"/>
      <c r="F2" s="352"/>
      <c r="G2" s="353">
        <v>34291</v>
      </c>
      <c r="H2" s="353">
        <v>10856.42</v>
      </c>
      <c r="I2" s="353">
        <v>449333876</v>
      </c>
      <c r="J2" s="354">
        <f>+H2*1000/G2/365</f>
        <v>0.86738842373672875</v>
      </c>
      <c r="K2" s="355"/>
      <c r="L2" s="355"/>
      <c r="M2" s="355"/>
      <c r="N2" s="352" t="s">
        <v>563</v>
      </c>
    </row>
  </sheetData>
  <pageMargins left="0.7" right="0.7" top="0.75" bottom="0.75" header="0.3" footer="0.3"/>
  <legacyDrawing r:id="rId1"/>
</worksheet>
</file>

<file path=xl/worksheets/sheet52.xml><?xml version="1.0" encoding="utf-8"?>
<worksheet xmlns="http://schemas.openxmlformats.org/spreadsheetml/2006/main" xmlns:r="http://schemas.openxmlformats.org/officeDocument/2006/relationships">
  <sheetPr>
    <tabColor rgb="FFFFFF00"/>
  </sheetPr>
  <dimension ref="A1:N6"/>
  <sheetViews>
    <sheetView zoomScale="80" zoomScaleNormal="80" workbookViewId="0">
      <pane ySplit="1" topLeftCell="A2" activePane="bottomLeft" state="frozen"/>
      <selection pane="bottomLeft" activeCell="A2" sqref="A2:N2"/>
    </sheetView>
  </sheetViews>
  <sheetFormatPr baseColWidth="10" defaultRowHeight="15"/>
  <cols>
    <col min="1" max="1" width="13.5703125" customWidth="1"/>
    <col min="2" max="2" width="19.5703125" customWidth="1"/>
    <col min="3" max="3" width="15.28515625" customWidth="1"/>
    <col min="4" max="4" width="15.42578125" customWidth="1"/>
    <col min="5" max="5" width="16.5703125" customWidth="1"/>
    <col min="7" max="7" width="20" customWidth="1"/>
    <col min="8" max="9" width="15" customWidth="1"/>
    <col min="10" max="10" width="14.140625" customWidth="1"/>
    <col min="13" max="13" width="15.85546875" customWidth="1"/>
    <col min="14" max="14" width="19.140625" customWidth="1"/>
  </cols>
  <sheetData>
    <row r="1" spans="1:14" ht="63">
      <c r="A1" s="16" t="s">
        <v>77</v>
      </c>
      <c r="B1" s="16" t="s">
        <v>0</v>
      </c>
      <c r="C1" s="16" t="s">
        <v>1</v>
      </c>
      <c r="D1" s="16" t="s">
        <v>78</v>
      </c>
      <c r="E1" s="16" t="s">
        <v>4</v>
      </c>
      <c r="F1" s="16" t="s">
        <v>5</v>
      </c>
      <c r="G1" s="17" t="s">
        <v>79</v>
      </c>
      <c r="H1" s="17" t="s">
        <v>80</v>
      </c>
      <c r="I1" s="17" t="s">
        <v>81</v>
      </c>
      <c r="J1" s="16" t="s">
        <v>82</v>
      </c>
      <c r="K1" s="18" t="s">
        <v>27</v>
      </c>
      <c r="L1" s="18" t="s">
        <v>28</v>
      </c>
      <c r="M1" s="18" t="s">
        <v>83</v>
      </c>
      <c r="N1" s="16" t="s">
        <v>7</v>
      </c>
    </row>
    <row r="2" spans="1:14" s="68" customFormat="1" ht="45">
      <c r="A2" s="1" t="s">
        <v>179</v>
      </c>
      <c r="B2" s="1" t="s">
        <v>180</v>
      </c>
      <c r="C2" s="1" t="s">
        <v>93</v>
      </c>
      <c r="D2" s="1" t="s">
        <v>181</v>
      </c>
      <c r="E2" s="1" t="s">
        <v>182</v>
      </c>
      <c r="F2" s="2" t="s">
        <v>183</v>
      </c>
      <c r="G2" s="2">
        <v>3000</v>
      </c>
      <c r="H2" s="2">
        <v>1800</v>
      </c>
      <c r="I2" s="67">
        <v>27000</v>
      </c>
      <c r="J2" s="248">
        <f>+H2*1000/G2/365</f>
        <v>1.6438356164383561</v>
      </c>
      <c r="K2" s="29">
        <v>6256439</v>
      </c>
      <c r="L2" s="29">
        <v>285556</v>
      </c>
      <c r="M2" s="29" t="s">
        <v>103</v>
      </c>
      <c r="N2" s="1" t="s">
        <v>184</v>
      </c>
    </row>
    <row r="3" spans="1:14">
      <c r="A3" s="1"/>
      <c r="B3" s="1"/>
      <c r="C3" s="1"/>
      <c r="D3" s="1"/>
      <c r="E3" s="1"/>
      <c r="F3" s="1"/>
      <c r="G3" s="2"/>
      <c r="H3" s="2"/>
      <c r="I3" s="2"/>
      <c r="J3" s="3"/>
      <c r="K3" s="11"/>
      <c r="L3" s="11"/>
      <c r="M3" s="11"/>
      <c r="N3" s="1"/>
    </row>
    <row r="4" spans="1:14">
      <c r="A4" s="1"/>
      <c r="B4" s="1"/>
      <c r="C4" s="1"/>
      <c r="D4" s="1"/>
      <c r="E4" s="1"/>
      <c r="F4" s="1"/>
      <c r="G4" s="2"/>
      <c r="H4" s="2"/>
      <c r="I4" s="2"/>
      <c r="J4" s="3"/>
      <c r="K4" s="11"/>
      <c r="L4" s="11"/>
      <c r="M4" s="11"/>
      <c r="N4" s="1"/>
    </row>
    <row r="5" spans="1:14">
      <c r="A5" s="1"/>
      <c r="B5" s="1"/>
      <c r="C5" s="1"/>
      <c r="D5" s="1"/>
      <c r="E5" s="4"/>
      <c r="F5" s="1"/>
      <c r="G5" s="2"/>
      <c r="H5" s="2"/>
      <c r="I5" s="2"/>
      <c r="J5" s="3"/>
      <c r="K5" s="11"/>
      <c r="L5" s="11"/>
      <c r="M5" s="11"/>
      <c r="N5" s="1"/>
    </row>
    <row r="6" spans="1:14">
      <c r="A6" s="5"/>
      <c r="B6" s="5"/>
      <c r="C6" s="5"/>
      <c r="D6" s="5"/>
      <c r="E6" s="6"/>
      <c r="F6" s="7"/>
      <c r="G6" s="7"/>
      <c r="H6" s="5"/>
      <c r="I6" s="5"/>
      <c r="J6" s="9"/>
      <c r="N6" s="8"/>
    </row>
  </sheetData>
  <pageMargins left="0.7" right="0.7" top="0.75" bottom="0.75" header="0.3" footer="0.3"/>
  <pageSetup orientation="portrait" verticalDpi="0" r:id="rId1"/>
  <legacyDrawing r:id="rId2"/>
</worksheet>
</file>

<file path=xl/worksheets/sheet53.xml><?xml version="1.0" encoding="utf-8"?>
<worksheet xmlns="http://schemas.openxmlformats.org/spreadsheetml/2006/main" xmlns:r="http://schemas.openxmlformats.org/officeDocument/2006/relationships">
  <sheetPr>
    <tabColor rgb="FFFFFF00"/>
  </sheetPr>
  <dimension ref="A1:N2"/>
  <sheetViews>
    <sheetView workbookViewId="0">
      <selection activeCell="A2" sqref="A2:M2"/>
    </sheetView>
  </sheetViews>
  <sheetFormatPr baseColWidth="10" defaultRowHeight="15"/>
  <cols>
    <col min="7" max="7" width="13" customWidth="1"/>
    <col min="8" max="8" width="14.7109375" customWidth="1"/>
    <col min="9" max="9" width="17.140625" bestFit="1" customWidth="1"/>
  </cols>
  <sheetData>
    <row r="1" spans="1:14" ht="94.5">
      <c r="A1" s="210" t="s">
        <v>77</v>
      </c>
      <c r="B1" s="210" t="s">
        <v>0</v>
      </c>
      <c r="C1" s="210" t="s">
        <v>1</v>
      </c>
      <c r="D1" s="210" t="s">
        <v>78</v>
      </c>
      <c r="E1" s="210" t="s">
        <v>4</v>
      </c>
      <c r="F1" s="210" t="s">
        <v>5</v>
      </c>
      <c r="G1" s="211" t="s">
        <v>79</v>
      </c>
      <c r="H1" s="211" t="s">
        <v>80</v>
      </c>
      <c r="I1" s="211" t="s">
        <v>81</v>
      </c>
      <c r="J1" s="210" t="s">
        <v>82</v>
      </c>
      <c r="K1" s="212" t="s">
        <v>27</v>
      </c>
      <c r="L1" s="212" t="s">
        <v>28</v>
      </c>
      <c r="M1" s="212" t="s">
        <v>83</v>
      </c>
      <c r="N1" s="210" t="s">
        <v>7</v>
      </c>
    </row>
    <row r="2" spans="1:14" ht="45">
      <c r="A2" s="200" t="s">
        <v>500</v>
      </c>
      <c r="B2" s="200" t="s">
        <v>14</v>
      </c>
      <c r="C2" s="200" t="s">
        <v>501</v>
      </c>
      <c r="D2" s="200" t="s">
        <v>16</v>
      </c>
      <c r="E2" s="253" t="s">
        <v>502</v>
      </c>
      <c r="F2" s="200" t="s">
        <v>503</v>
      </c>
      <c r="G2" s="300">
        <v>5639</v>
      </c>
      <c r="H2" s="201">
        <v>3000</v>
      </c>
      <c r="I2" s="303">
        <v>50941000</v>
      </c>
      <c r="J2" s="301">
        <f>+H2*1000/G2/365</f>
        <v>1.4575595109401986</v>
      </c>
      <c r="K2" s="302" t="s">
        <v>504</v>
      </c>
      <c r="L2" s="253" t="s">
        <v>505</v>
      </c>
      <c r="M2" s="253" t="s">
        <v>506</v>
      </c>
      <c r="N2" s="200"/>
    </row>
  </sheetData>
  <pageMargins left="0.7" right="0.7" top="0.75" bottom="0.75" header="0.3" footer="0.3"/>
  <legacyDrawing r:id="rId1"/>
</worksheet>
</file>

<file path=xl/worksheets/sheet54.xml><?xml version="1.0" encoding="utf-8"?>
<worksheet xmlns="http://schemas.openxmlformats.org/spreadsheetml/2006/main" xmlns:r="http://schemas.openxmlformats.org/officeDocument/2006/relationships">
  <sheetPr>
    <tabColor rgb="FFFFFF00"/>
  </sheetPr>
  <dimension ref="A1:N2"/>
  <sheetViews>
    <sheetView workbookViewId="0">
      <selection activeCell="A2" sqref="A2:M2"/>
    </sheetView>
  </sheetViews>
  <sheetFormatPr baseColWidth="10" defaultRowHeight="15"/>
  <sheetData>
    <row r="1" spans="1:14" ht="94.5">
      <c r="A1" s="356" t="s">
        <v>77</v>
      </c>
      <c r="B1" s="356" t="s">
        <v>0</v>
      </c>
      <c r="C1" s="356" t="s">
        <v>1</v>
      </c>
      <c r="D1" s="356" t="s">
        <v>78</v>
      </c>
      <c r="E1" s="356" t="s">
        <v>4</v>
      </c>
      <c r="F1" s="356" t="s">
        <v>5</v>
      </c>
      <c r="G1" s="357" t="s">
        <v>79</v>
      </c>
      <c r="H1" s="357" t="s">
        <v>80</v>
      </c>
      <c r="I1" s="357" t="s">
        <v>81</v>
      </c>
      <c r="J1" s="356" t="s">
        <v>82</v>
      </c>
      <c r="K1" s="358" t="s">
        <v>27</v>
      </c>
      <c r="L1" s="358" t="s">
        <v>28</v>
      </c>
      <c r="M1" s="358" t="s">
        <v>83</v>
      </c>
      <c r="N1" s="356" t="s">
        <v>7</v>
      </c>
    </row>
    <row r="2" spans="1:14" ht="105">
      <c r="A2" s="352" t="s">
        <v>16</v>
      </c>
      <c r="B2" s="352" t="s">
        <v>542</v>
      </c>
      <c r="C2" s="352" t="s">
        <v>501</v>
      </c>
      <c r="D2" s="352" t="s">
        <v>16</v>
      </c>
      <c r="E2" s="352" t="s">
        <v>543</v>
      </c>
      <c r="F2" s="352" t="s">
        <v>544</v>
      </c>
      <c r="G2" s="353">
        <v>120000</v>
      </c>
      <c r="H2" s="353">
        <v>50000</v>
      </c>
      <c r="I2" s="351" t="s">
        <v>545</v>
      </c>
      <c r="J2" s="354">
        <v>1.1000000000000001</v>
      </c>
      <c r="K2" s="355">
        <v>6256366.5880000005</v>
      </c>
      <c r="L2" s="355">
        <v>285640.70600000001</v>
      </c>
      <c r="M2" s="355" t="s">
        <v>546</v>
      </c>
      <c r="N2" s="352"/>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sheetPr>
    <tabColor rgb="FFFFFF00"/>
  </sheetPr>
  <dimension ref="A1:N7"/>
  <sheetViews>
    <sheetView topLeftCell="F1" zoomScale="90" zoomScaleNormal="90" workbookViewId="0">
      <selection activeCell="A2" sqref="A2:N2"/>
    </sheetView>
  </sheetViews>
  <sheetFormatPr baseColWidth="10" defaultColWidth="16.140625" defaultRowHeight="15"/>
  <cols>
    <col min="1" max="1" width="20.5703125" customWidth="1"/>
    <col min="14" max="14" width="48.5703125" customWidth="1"/>
  </cols>
  <sheetData>
    <row r="1" spans="1:14" ht="63">
      <c r="A1" s="346" t="s">
        <v>77</v>
      </c>
      <c r="B1" s="346" t="s">
        <v>0</v>
      </c>
      <c r="C1" s="346" t="s">
        <v>1</v>
      </c>
      <c r="D1" s="346" t="s">
        <v>78</v>
      </c>
      <c r="E1" s="346" t="s">
        <v>4</v>
      </c>
      <c r="F1" s="346" t="s">
        <v>5</v>
      </c>
      <c r="G1" s="347" t="s">
        <v>79</v>
      </c>
      <c r="H1" s="347" t="s">
        <v>80</v>
      </c>
      <c r="I1" s="347" t="s">
        <v>81</v>
      </c>
      <c r="J1" s="346" t="s">
        <v>82</v>
      </c>
      <c r="K1" s="348" t="s">
        <v>27</v>
      </c>
      <c r="L1" s="348" t="s">
        <v>28</v>
      </c>
      <c r="M1" s="348" t="s">
        <v>83</v>
      </c>
      <c r="N1" s="346" t="s">
        <v>7</v>
      </c>
    </row>
    <row r="2" spans="1:14" ht="75">
      <c r="A2" s="369" t="s">
        <v>564</v>
      </c>
      <c r="B2" s="352" t="s">
        <v>14</v>
      </c>
      <c r="C2" s="352" t="s">
        <v>565</v>
      </c>
      <c r="D2" s="352" t="s">
        <v>16</v>
      </c>
      <c r="E2" s="352"/>
      <c r="F2" s="352"/>
      <c r="G2" s="353">
        <v>12000</v>
      </c>
      <c r="H2" s="353">
        <v>3504</v>
      </c>
      <c r="I2" s="376">
        <v>100000000</v>
      </c>
      <c r="J2" s="354">
        <f>+H2*1000/G2/365</f>
        <v>0.8</v>
      </c>
      <c r="K2" s="355"/>
      <c r="L2" s="355"/>
      <c r="M2" s="355"/>
      <c r="N2" s="352" t="s">
        <v>661</v>
      </c>
    </row>
    <row r="3" spans="1:14" ht="45">
      <c r="A3" s="369" t="s">
        <v>564</v>
      </c>
      <c r="B3" s="352" t="s">
        <v>85</v>
      </c>
      <c r="C3" s="352" t="s">
        <v>566</v>
      </c>
      <c r="D3" s="352" t="s">
        <v>87</v>
      </c>
      <c r="E3" s="352"/>
      <c r="F3" s="352"/>
      <c r="G3" s="353">
        <v>12000</v>
      </c>
      <c r="H3" s="353">
        <v>48</v>
      </c>
      <c r="I3" s="198" t="s">
        <v>567</v>
      </c>
      <c r="J3" s="354" t="s">
        <v>568</v>
      </c>
      <c r="K3" s="355"/>
      <c r="L3" s="355"/>
      <c r="M3" s="355"/>
      <c r="N3" s="352" t="s">
        <v>569</v>
      </c>
    </row>
    <row r="4" spans="1:14" ht="60">
      <c r="A4" s="204"/>
      <c r="B4" s="204"/>
      <c r="C4" s="204"/>
      <c r="D4" s="204"/>
      <c r="E4" s="204"/>
      <c r="F4" s="204"/>
      <c r="G4" s="206"/>
      <c r="H4" s="206" t="s">
        <v>576</v>
      </c>
      <c r="J4" s="370"/>
      <c r="K4" s="371"/>
      <c r="L4" s="371"/>
      <c r="M4" s="371"/>
      <c r="N4" s="375" t="s">
        <v>575</v>
      </c>
    </row>
    <row r="5" spans="1:14" ht="31.5">
      <c r="A5" s="372" t="s">
        <v>570</v>
      </c>
      <c r="B5" s="204"/>
      <c r="C5" s="204"/>
      <c r="D5" s="204"/>
      <c r="E5" s="373"/>
      <c r="F5" s="204"/>
      <c r="G5" s="206"/>
      <c r="H5" s="206"/>
      <c r="I5" s="206"/>
      <c r="J5" s="370"/>
      <c r="K5" s="371"/>
      <c r="L5" s="371"/>
      <c r="M5" s="371"/>
      <c r="N5" s="204"/>
    </row>
    <row r="6" spans="1:14" ht="90">
      <c r="A6" s="372" t="s">
        <v>571</v>
      </c>
      <c r="B6" s="204" t="s">
        <v>572</v>
      </c>
      <c r="C6" s="204"/>
      <c r="D6" s="204"/>
      <c r="E6" s="205"/>
      <c r="F6" s="206"/>
      <c r="G6" s="206"/>
      <c r="H6" s="204"/>
      <c r="I6" s="204"/>
      <c r="J6" s="208"/>
      <c r="K6" s="313"/>
      <c r="L6" s="313"/>
      <c r="M6" s="313"/>
      <c r="N6" s="207"/>
    </row>
    <row r="7" spans="1:14" ht="60">
      <c r="A7" s="374" t="s">
        <v>573</v>
      </c>
      <c r="B7" s="83" t="s">
        <v>574</v>
      </c>
      <c r="C7" s="313"/>
      <c r="D7" s="313"/>
      <c r="E7" s="313"/>
      <c r="F7" s="313"/>
      <c r="G7" s="313"/>
      <c r="H7" s="313"/>
      <c r="I7" s="313"/>
      <c r="J7" s="313"/>
      <c r="K7" s="313"/>
      <c r="L7" s="313"/>
      <c r="M7" s="313"/>
      <c r="N7" s="313"/>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sheetPr>
    <tabColor theme="5" tint="-0.249977111117893"/>
  </sheetPr>
  <dimension ref="A4:O21"/>
  <sheetViews>
    <sheetView topLeftCell="D1" zoomScale="90" zoomScaleNormal="90" workbookViewId="0">
      <selection activeCell="A6" sqref="A6:N6"/>
    </sheetView>
  </sheetViews>
  <sheetFormatPr baseColWidth="10" defaultRowHeight="15"/>
  <cols>
    <col min="1" max="1" width="15.28515625" customWidth="1"/>
    <col min="2" max="2" width="22.7109375" customWidth="1"/>
    <col min="3" max="3" width="26.28515625" customWidth="1"/>
    <col min="4" max="4" width="26" customWidth="1"/>
    <col min="5" max="5" width="25.42578125" customWidth="1"/>
    <col min="9" max="9" width="23.7109375" customWidth="1"/>
    <col min="10" max="10" width="14.140625" customWidth="1"/>
    <col min="13" max="13" width="20.28515625" customWidth="1"/>
  </cols>
  <sheetData>
    <row r="4" spans="1:15" ht="15.75" thickBot="1"/>
    <row r="5" spans="1:15" ht="60">
      <c r="A5" s="45" t="s">
        <v>2</v>
      </c>
      <c r="B5" s="46" t="s">
        <v>0</v>
      </c>
      <c r="C5" s="46" t="s">
        <v>1</v>
      </c>
      <c r="D5" s="46" t="s">
        <v>121</v>
      </c>
      <c r="E5" s="46" t="s">
        <v>122</v>
      </c>
      <c r="F5" s="46" t="s">
        <v>123</v>
      </c>
      <c r="G5" s="46" t="s">
        <v>124</v>
      </c>
      <c r="H5" s="46" t="s">
        <v>125</v>
      </c>
      <c r="I5" s="46" t="s">
        <v>126</v>
      </c>
      <c r="J5" s="46" t="s">
        <v>127</v>
      </c>
      <c r="K5" s="46" t="s">
        <v>128</v>
      </c>
      <c r="L5" s="46" t="s">
        <v>129</v>
      </c>
      <c r="M5" s="46" t="s">
        <v>83</v>
      </c>
      <c r="N5" s="47" t="s">
        <v>7</v>
      </c>
      <c r="O5" s="48"/>
    </row>
    <row r="6" spans="1:15" ht="76.5" customHeight="1" thickBot="1">
      <c r="A6" s="49" t="s">
        <v>130</v>
      </c>
      <c r="B6" s="50" t="s">
        <v>131</v>
      </c>
      <c r="C6" s="50" t="s">
        <v>132</v>
      </c>
      <c r="D6" s="50" t="s">
        <v>133</v>
      </c>
      <c r="E6" s="50" t="s">
        <v>134</v>
      </c>
      <c r="F6" s="51" t="s">
        <v>135</v>
      </c>
      <c r="G6" s="107">
        <v>75538</v>
      </c>
      <c r="H6" s="107">
        <v>38191.339999999997</v>
      </c>
      <c r="I6" s="107">
        <v>1969919</v>
      </c>
      <c r="J6" s="51">
        <v>1.38</v>
      </c>
      <c r="K6" s="51" t="s">
        <v>136</v>
      </c>
      <c r="L6" s="51" t="s">
        <v>137</v>
      </c>
      <c r="M6" s="51" t="s">
        <v>138</v>
      </c>
      <c r="N6" s="52"/>
      <c r="O6" s="48"/>
    </row>
    <row r="7" spans="1:15" ht="15.75" thickBot="1">
      <c r="A7" s="53"/>
      <c r="B7" s="50"/>
      <c r="C7" s="50"/>
      <c r="D7" s="50"/>
      <c r="E7" s="50"/>
      <c r="F7" s="50"/>
      <c r="G7" s="50"/>
      <c r="H7" s="50"/>
      <c r="I7" s="50"/>
      <c r="J7" s="50"/>
      <c r="K7" s="50"/>
      <c r="L7" s="50"/>
      <c r="M7" s="50"/>
      <c r="N7" s="54"/>
      <c r="O7" s="48"/>
    </row>
    <row r="8" spans="1:15">
      <c r="H8">
        <v>38191340</v>
      </c>
      <c r="I8">
        <f>H8/365</f>
        <v>104633.80821917808</v>
      </c>
    </row>
    <row r="9" spans="1:15">
      <c r="I9" s="249">
        <f>I8/G6</f>
        <v>1.3851810773276774</v>
      </c>
    </row>
    <row r="10" spans="1:15">
      <c r="J10" s="250">
        <f>+H6*1000/G6/365</f>
        <v>1.3851810773276771</v>
      </c>
    </row>
    <row r="11" spans="1:15">
      <c r="B11" t="s">
        <v>139</v>
      </c>
    </row>
    <row r="20" spans="5:5" ht="15.75">
      <c r="E20" s="55"/>
    </row>
    <row r="21" spans="5:5" ht="15.75">
      <c r="E21" s="5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5" tint="-0.249977111117893"/>
  </sheetPr>
  <dimension ref="A1:N7"/>
  <sheetViews>
    <sheetView zoomScale="90" zoomScaleNormal="90" workbookViewId="0">
      <pane ySplit="1" topLeftCell="A2" activePane="bottomLeft" state="frozen"/>
      <selection pane="bottomLeft" activeCell="A2" sqref="A2:XFD2"/>
    </sheetView>
  </sheetViews>
  <sheetFormatPr baseColWidth="10" defaultRowHeight="15"/>
  <cols>
    <col min="1" max="1" width="11.42578125" customWidth="1"/>
    <col min="2" max="2" width="14.85546875" customWidth="1"/>
    <col min="3" max="3" width="15.28515625" customWidth="1"/>
    <col min="4" max="4" width="15.42578125" customWidth="1"/>
    <col min="5" max="5" width="16.5703125" customWidth="1"/>
    <col min="6" max="6" width="16" customWidth="1"/>
    <col min="7" max="7" width="14.85546875" customWidth="1"/>
    <col min="8" max="9" width="15" customWidth="1"/>
    <col min="10" max="10" width="14.140625" customWidth="1"/>
    <col min="13" max="13" width="15.85546875" customWidth="1"/>
    <col min="14" max="14" width="19.140625" customWidth="1"/>
  </cols>
  <sheetData>
    <row r="1" spans="1:14" ht="63">
      <c r="A1" s="16" t="s">
        <v>77</v>
      </c>
      <c r="B1" s="16" t="s">
        <v>0</v>
      </c>
      <c r="C1" s="16" t="s">
        <v>1</v>
      </c>
      <c r="D1" s="16" t="s">
        <v>78</v>
      </c>
      <c r="E1" s="16" t="s">
        <v>4</v>
      </c>
      <c r="F1" s="16" t="s">
        <v>5</v>
      </c>
      <c r="G1" s="17" t="s">
        <v>79</v>
      </c>
      <c r="H1" s="17" t="s">
        <v>80</v>
      </c>
      <c r="I1" s="17" t="s">
        <v>81</v>
      </c>
      <c r="J1" s="16" t="s">
        <v>82</v>
      </c>
      <c r="K1" s="18" t="s">
        <v>27</v>
      </c>
      <c r="L1" s="18" t="s">
        <v>28</v>
      </c>
      <c r="M1" s="18" t="s">
        <v>83</v>
      </c>
      <c r="N1" s="16" t="s">
        <v>7</v>
      </c>
    </row>
    <row r="2" spans="1:14" ht="60">
      <c r="A2" s="1" t="s">
        <v>140</v>
      </c>
      <c r="B2" s="1" t="s">
        <v>141</v>
      </c>
      <c r="C2" s="10" t="s">
        <v>142</v>
      </c>
      <c r="D2" s="1" t="s">
        <v>87</v>
      </c>
      <c r="E2" s="1" t="s">
        <v>143</v>
      </c>
      <c r="F2" s="1" t="s">
        <v>144</v>
      </c>
      <c r="G2" s="135">
        <v>180000</v>
      </c>
      <c r="H2" s="135">
        <v>78446</v>
      </c>
      <c r="I2" s="2">
        <v>727410</v>
      </c>
      <c r="J2" s="248">
        <f>+H2*1000/G2/365</f>
        <v>1.1940030441400304</v>
      </c>
      <c r="K2" s="11"/>
      <c r="L2" s="11"/>
      <c r="M2" s="11"/>
      <c r="N2" s="1"/>
    </row>
    <row r="3" spans="1:14">
      <c r="A3" s="1"/>
      <c r="B3" s="1"/>
      <c r="C3" s="1"/>
      <c r="D3" s="1"/>
      <c r="E3" s="1"/>
      <c r="F3" s="1"/>
      <c r="G3" s="2"/>
      <c r="H3" s="2"/>
      <c r="I3" s="2"/>
      <c r="J3" s="3"/>
      <c r="K3" s="11"/>
      <c r="L3" s="11"/>
      <c r="M3" s="11"/>
      <c r="N3" s="1"/>
    </row>
    <row r="4" spans="1:14">
      <c r="A4" s="1"/>
      <c r="B4" s="1"/>
      <c r="C4" s="1"/>
      <c r="D4" s="1"/>
      <c r="E4" s="1"/>
      <c r="F4" s="1"/>
      <c r="G4" s="2"/>
      <c r="H4" s="2"/>
      <c r="I4" s="2"/>
      <c r="J4" s="3"/>
      <c r="K4" s="11"/>
      <c r="L4" s="11"/>
      <c r="M4" s="11"/>
      <c r="N4" s="1"/>
    </row>
    <row r="5" spans="1:14">
      <c r="A5" s="1"/>
      <c r="B5" s="1"/>
      <c r="C5" s="1"/>
      <c r="D5" s="1"/>
      <c r="E5" s="4"/>
      <c r="F5" s="1"/>
      <c r="G5" s="2"/>
      <c r="H5" s="2"/>
      <c r="I5" s="2"/>
      <c r="J5" s="3"/>
      <c r="K5" s="11"/>
      <c r="L5" s="11"/>
      <c r="M5" s="11"/>
      <c r="N5" s="1"/>
    </row>
    <row r="6" spans="1:14">
      <c r="A6" s="5"/>
      <c r="B6" s="5"/>
      <c r="C6" s="5"/>
      <c r="D6" s="5"/>
      <c r="E6" s="6"/>
      <c r="F6" s="7"/>
      <c r="G6" s="7"/>
      <c r="H6" s="5"/>
      <c r="I6" s="5"/>
      <c r="J6" s="9"/>
      <c r="N6" s="8"/>
    </row>
    <row r="7" spans="1:14" ht="21">
      <c r="A7" s="56"/>
    </row>
  </sheetData>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sheetPr>
    <tabColor theme="5" tint="-0.249977111117893"/>
  </sheetPr>
  <dimension ref="A1:N18"/>
  <sheetViews>
    <sheetView zoomScale="80" zoomScaleNormal="80" workbookViewId="0">
      <pane ySplit="1" topLeftCell="A2" activePane="bottomLeft" state="frozen"/>
      <selection pane="bottomLeft" activeCell="A7" sqref="A7"/>
    </sheetView>
  </sheetViews>
  <sheetFormatPr baseColWidth="10" defaultRowHeight="15"/>
  <cols>
    <col min="1" max="1" width="24.5703125" customWidth="1"/>
    <col min="2" max="2" width="13.5703125" customWidth="1"/>
    <col min="3" max="3" width="26.5703125" customWidth="1"/>
    <col min="4" max="4" width="15.42578125" customWidth="1"/>
    <col min="5" max="5" width="16.5703125" customWidth="1"/>
    <col min="6" max="6" width="9" customWidth="1"/>
    <col min="7" max="7" width="14.85546875" customWidth="1"/>
    <col min="8" max="8" width="13.85546875" customWidth="1"/>
    <col min="9" max="9" width="16.28515625" customWidth="1"/>
    <col min="10" max="10" width="14.140625" customWidth="1"/>
    <col min="13" max="13" width="15.85546875" customWidth="1"/>
    <col min="14" max="14" width="19.140625" customWidth="1"/>
  </cols>
  <sheetData>
    <row r="1" spans="1:14" ht="63">
      <c r="A1" s="16" t="s">
        <v>77</v>
      </c>
      <c r="B1" s="16" t="s">
        <v>0</v>
      </c>
      <c r="C1" s="16" t="s">
        <v>1</v>
      </c>
      <c r="D1" s="16" t="s">
        <v>78</v>
      </c>
      <c r="E1" s="16" t="s">
        <v>4</v>
      </c>
      <c r="F1" s="16" t="s">
        <v>5</v>
      </c>
      <c r="G1" s="17" t="s">
        <v>79</v>
      </c>
      <c r="H1" s="17" t="s">
        <v>80</v>
      </c>
      <c r="I1" s="17" t="s">
        <v>81</v>
      </c>
      <c r="J1" s="16" t="s">
        <v>82</v>
      </c>
      <c r="K1" s="18" t="s">
        <v>27</v>
      </c>
      <c r="L1" s="18" t="s">
        <v>28</v>
      </c>
      <c r="M1" s="18" t="s">
        <v>83</v>
      </c>
      <c r="N1" s="16" t="s">
        <v>7</v>
      </c>
    </row>
    <row r="2" spans="1:14" ht="60">
      <c r="A2" s="1" t="s">
        <v>145</v>
      </c>
      <c r="B2" s="1" t="s">
        <v>85</v>
      </c>
      <c r="C2" s="1" t="s">
        <v>146</v>
      </c>
      <c r="D2" s="1" t="s">
        <v>147</v>
      </c>
      <c r="E2" s="1" t="s">
        <v>148</v>
      </c>
      <c r="F2" s="1">
        <v>990</v>
      </c>
      <c r="G2" s="2">
        <v>100000</v>
      </c>
      <c r="H2" s="2">
        <v>44500</v>
      </c>
      <c r="I2" s="57">
        <v>546272</v>
      </c>
      <c r="J2" s="3">
        <f>(H2*1000)/G2/365</f>
        <v>1.2191780821917808</v>
      </c>
      <c r="K2" s="58">
        <v>6306087</v>
      </c>
      <c r="L2" s="58">
        <v>341297</v>
      </c>
      <c r="M2" s="59" t="s">
        <v>149</v>
      </c>
      <c r="N2" s="1" t="s">
        <v>150</v>
      </c>
    </row>
    <row r="3" spans="1:14" ht="75">
      <c r="A3" s="1" t="s">
        <v>145</v>
      </c>
      <c r="B3" s="1" t="s">
        <v>85</v>
      </c>
      <c r="C3" s="1" t="s">
        <v>93</v>
      </c>
      <c r="D3" s="1" t="s">
        <v>151</v>
      </c>
      <c r="E3" s="1" t="s">
        <v>148</v>
      </c>
      <c r="F3" s="1">
        <v>990</v>
      </c>
      <c r="G3" s="2"/>
      <c r="H3" s="2"/>
      <c r="I3" s="2"/>
      <c r="J3" s="3"/>
      <c r="K3" s="58">
        <v>6351952</v>
      </c>
      <c r="L3" s="58">
        <v>331940</v>
      </c>
      <c r="M3" s="59" t="s">
        <v>149</v>
      </c>
      <c r="N3" s="1" t="s">
        <v>152</v>
      </c>
    </row>
    <row r="4" spans="1:14" ht="60">
      <c r="A4" s="1"/>
      <c r="B4" s="1"/>
      <c r="C4" s="1"/>
      <c r="D4" s="1"/>
      <c r="E4" s="1"/>
      <c r="F4" s="1"/>
      <c r="G4" s="2"/>
      <c r="H4" s="2"/>
      <c r="I4" s="2"/>
      <c r="J4" s="3"/>
      <c r="K4" s="11"/>
      <c r="L4" s="11"/>
      <c r="M4" s="11"/>
      <c r="N4" s="1" t="s">
        <v>153</v>
      </c>
    </row>
    <row r="5" spans="1:14" ht="45">
      <c r="A5" s="1"/>
      <c r="B5" s="1"/>
      <c r="C5" s="1"/>
      <c r="D5" s="1"/>
      <c r="E5" s="4"/>
      <c r="F5" s="1"/>
      <c r="G5" s="2"/>
      <c r="H5" s="2"/>
      <c r="I5" s="2"/>
      <c r="J5" s="3"/>
      <c r="K5" s="11"/>
      <c r="L5" s="11"/>
      <c r="M5" s="11"/>
      <c r="N5" s="1" t="s">
        <v>154</v>
      </c>
    </row>
    <row r="6" spans="1:14">
      <c r="A6" s="5"/>
      <c r="B6" s="5"/>
      <c r="C6" s="5"/>
      <c r="D6" s="5"/>
      <c r="E6" s="6"/>
      <c r="F6" s="7"/>
      <c r="G6" s="7"/>
      <c r="H6" s="5"/>
      <c r="I6" s="5"/>
      <c r="J6" s="9"/>
      <c r="N6" s="8"/>
    </row>
    <row r="7" spans="1:14">
      <c r="A7" t="s">
        <v>155</v>
      </c>
    </row>
    <row r="9" spans="1:14">
      <c r="J9">
        <f>+H2*1000/G2/365</f>
        <v>1.2191780821917808</v>
      </c>
    </row>
    <row r="15" spans="1:14">
      <c r="E15" s="60" t="s">
        <v>156</v>
      </c>
    </row>
    <row r="16" spans="1:14">
      <c r="E16" s="60" t="s">
        <v>157</v>
      </c>
    </row>
    <row r="17" spans="5:5">
      <c r="E17" s="60" t="s">
        <v>158</v>
      </c>
    </row>
    <row r="18" spans="5:5">
      <c r="E18" s="60" t="s">
        <v>159</v>
      </c>
    </row>
  </sheetData>
  <pageMargins left="0.23622047244094491" right="0.23622047244094491" top="0.74803149606299213" bottom="0.74803149606299213" header="0.31496062992125984" footer="0.31496062992125984"/>
  <pageSetup paperSize="14" scale="70" orientation="landscape" horizontalDpi="4294967294" verticalDpi="4294967294" r:id="rId1"/>
  <legacyDrawing r:id="rId2"/>
</worksheet>
</file>

<file path=xl/worksheets/sheet9.xml><?xml version="1.0" encoding="utf-8"?>
<worksheet xmlns="http://schemas.openxmlformats.org/spreadsheetml/2006/main" xmlns:r="http://schemas.openxmlformats.org/officeDocument/2006/relationships">
  <sheetPr>
    <tabColor theme="5" tint="-0.249977111117893"/>
  </sheetPr>
  <dimension ref="A1:O7"/>
  <sheetViews>
    <sheetView workbookViewId="0">
      <selection activeCell="A2" sqref="A2:O2"/>
    </sheetView>
  </sheetViews>
  <sheetFormatPr baseColWidth="10" defaultRowHeight="15"/>
  <cols>
    <col min="8" max="8" width="13.42578125" bestFit="1" customWidth="1"/>
    <col min="10" max="10" width="14.42578125" bestFit="1" customWidth="1"/>
  </cols>
  <sheetData>
    <row r="1" spans="1:15" ht="49.9" customHeight="1">
      <c r="A1" s="61" t="s">
        <v>77</v>
      </c>
      <c r="B1" s="61" t="s">
        <v>160</v>
      </c>
      <c r="C1" s="61" t="s">
        <v>1</v>
      </c>
      <c r="D1" s="61" t="s">
        <v>121</v>
      </c>
      <c r="E1" s="61" t="s">
        <v>161</v>
      </c>
      <c r="F1" s="61" t="s">
        <v>5</v>
      </c>
      <c r="G1" s="61" t="s">
        <v>162</v>
      </c>
      <c r="H1" s="61" t="s">
        <v>163</v>
      </c>
      <c r="I1" s="61" t="s">
        <v>164</v>
      </c>
      <c r="J1" s="61" t="s">
        <v>165</v>
      </c>
      <c r="K1" s="61" t="s">
        <v>166</v>
      </c>
      <c r="L1" s="61" t="s">
        <v>27</v>
      </c>
      <c r="M1" s="61" t="s">
        <v>167</v>
      </c>
      <c r="N1" s="61" t="s">
        <v>168</v>
      </c>
      <c r="O1" s="61" t="s">
        <v>7</v>
      </c>
    </row>
    <row r="2" spans="1:15" ht="90">
      <c r="A2" s="62" t="s">
        <v>169</v>
      </c>
      <c r="B2" s="62" t="s">
        <v>170</v>
      </c>
      <c r="C2" s="62" t="s">
        <v>10</v>
      </c>
      <c r="D2" s="62" t="s">
        <v>20</v>
      </c>
      <c r="E2" s="62" t="s">
        <v>171</v>
      </c>
      <c r="F2" s="62" t="s">
        <v>172</v>
      </c>
      <c r="G2" s="63">
        <v>84195</v>
      </c>
      <c r="H2" s="63">
        <v>84195</v>
      </c>
      <c r="I2" s="63">
        <v>48265</v>
      </c>
      <c r="J2" s="64">
        <v>483150</v>
      </c>
      <c r="K2" s="65">
        <f>+I2*1000/(365*G2)</f>
        <v>1.5705549820337166</v>
      </c>
      <c r="L2" s="62">
        <v>6352781</v>
      </c>
      <c r="M2" s="62">
        <v>331311</v>
      </c>
      <c r="N2" s="62" t="s">
        <v>173</v>
      </c>
      <c r="O2" s="62"/>
    </row>
    <row r="3" spans="1:15">
      <c r="A3" s="62"/>
      <c r="B3" s="62"/>
      <c r="C3" s="62"/>
      <c r="D3" s="62"/>
      <c r="E3" s="62"/>
      <c r="F3" s="62"/>
      <c r="G3" s="62"/>
      <c r="H3" s="62"/>
      <c r="I3" s="62"/>
      <c r="J3" s="66"/>
      <c r="K3" s="62"/>
      <c r="L3" s="62"/>
      <c r="M3" s="62"/>
      <c r="N3" s="62"/>
      <c r="O3" s="62"/>
    </row>
    <row r="4" spans="1:15">
      <c r="A4" s="62"/>
      <c r="B4" s="62"/>
      <c r="C4" s="62"/>
      <c r="D4" s="62"/>
      <c r="E4" s="62"/>
      <c r="F4" s="62"/>
      <c r="G4" s="62"/>
      <c r="H4" s="62"/>
      <c r="I4" s="62"/>
      <c r="J4" s="62"/>
      <c r="K4" s="62"/>
      <c r="L4" s="62"/>
      <c r="M4" s="62"/>
      <c r="N4" s="62"/>
      <c r="O4" s="62"/>
    </row>
    <row r="5" spans="1:15">
      <c r="A5" s="62"/>
      <c r="B5" s="62"/>
      <c r="C5" s="62"/>
      <c r="D5" s="62"/>
      <c r="E5" s="62"/>
      <c r="F5" s="62"/>
      <c r="G5" s="62"/>
      <c r="H5" s="62"/>
      <c r="I5" s="62"/>
      <c r="J5" s="62"/>
      <c r="K5" s="62"/>
      <c r="L5" s="62"/>
      <c r="M5" s="62"/>
      <c r="N5" s="62"/>
      <c r="O5" s="62"/>
    </row>
    <row r="7" spans="1:15">
      <c r="K7">
        <f>+I2*1000/H2/365</f>
        <v>1.5705549820337168</v>
      </c>
    </row>
  </sheetData>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55</vt:i4>
      </vt:variant>
    </vt:vector>
  </HeadingPairs>
  <TitlesOfParts>
    <vt:vector size="55" baseType="lpstr">
      <vt:lpstr>Ficha técnica</vt:lpstr>
      <vt:lpstr>Consolidado comunas</vt:lpstr>
      <vt:lpstr>Resumen</vt:lpstr>
      <vt:lpstr>Recoleta</vt:lpstr>
      <vt:lpstr>San Miguel</vt:lpstr>
      <vt:lpstr>Independ</vt:lpstr>
      <vt:lpstr>Ñuñoa</vt:lpstr>
      <vt:lpstr>Lo Barnech</vt:lpstr>
      <vt:lpstr>Vitacura</vt:lpstr>
      <vt:lpstr>Pudahuel</vt:lpstr>
      <vt:lpstr>Stgo</vt:lpstr>
      <vt:lpstr>Providencia</vt:lpstr>
      <vt:lpstr>Quilicura</vt:lpstr>
      <vt:lpstr>Las Condes</vt:lpstr>
      <vt:lpstr>La Reina</vt:lpstr>
      <vt:lpstr>Q.Normal</vt:lpstr>
      <vt:lpstr>Colina</vt:lpstr>
      <vt:lpstr>Curacavi</vt:lpstr>
      <vt:lpstr>La Cisterna</vt:lpstr>
      <vt:lpstr>Lampa</vt:lpstr>
      <vt:lpstr>Til til</vt:lpstr>
      <vt:lpstr>Cerro Navia</vt:lpstr>
      <vt:lpstr>Huechuraba</vt:lpstr>
      <vt:lpstr>Renca</vt:lpstr>
      <vt:lpstr>Lo Prado</vt:lpstr>
      <vt:lpstr>Maipu</vt:lpstr>
      <vt:lpstr>Conchali</vt:lpstr>
      <vt:lpstr>Lo Espejo</vt:lpstr>
      <vt:lpstr>C.de Tango</vt:lpstr>
      <vt:lpstr>San Joaquin</vt:lpstr>
      <vt:lpstr>Pirque</vt:lpstr>
      <vt:lpstr>Macul</vt:lpstr>
      <vt:lpstr>Paine</vt:lpstr>
      <vt:lpstr>SJdM</vt:lpstr>
      <vt:lpstr>La Granja</vt:lpstr>
      <vt:lpstr>PAC</vt:lpstr>
      <vt:lpstr>La Pintana</vt:lpstr>
      <vt:lpstr>La Florida</vt:lpstr>
      <vt:lpstr>Pte Alto</vt:lpstr>
      <vt:lpstr>Talagante</vt:lpstr>
      <vt:lpstr>Buin</vt:lpstr>
      <vt:lpstr>San Bernardo</vt:lpstr>
      <vt:lpstr>San Ramon</vt:lpstr>
      <vt:lpstr>El Bosque</vt:lpstr>
      <vt:lpstr>Estacion Central</vt:lpstr>
      <vt:lpstr>Cerrillos</vt:lpstr>
      <vt:lpstr>El Monte</vt:lpstr>
      <vt:lpstr>P.Hurtado</vt:lpstr>
      <vt:lpstr>Peñalolen</vt:lpstr>
      <vt:lpstr>Peñaflor</vt:lpstr>
      <vt:lpstr>Isla de Maipo</vt:lpstr>
      <vt:lpstr>San Pedro</vt:lpstr>
      <vt:lpstr>Alhue</vt:lpstr>
      <vt:lpstr>Melipilla</vt:lpstr>
      <vt:lpstr>Maria Pinto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Lesly Susan Orellana Marchantl</dc:creator>
  <cp:lastModifiedBy>Lucia Tomic</cp:lastModifiedBy>
  <dcterms:created xsi:type="dcterms:W3CDTF">2015-03-09T11:47:04Z</dcterms:created>
  <dcterms:modified xsi:type="dcterms:W3CDTF">2015-08-14T21:59:41Z</dcterms:modified>
</cp:coreProperties>
</file>